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2"/>
  </bookViews>
  <sheets>
    <sheet name="реестр услуг" sheetId="1" r:id="rId1"/>
    <sheet name="вновь вводимые" sheetId="2" r:id="rId2"/>
    <sheet name="Лицей 9" sheetId="3" r:id="rId3"/>
  </sheets>
  <definedNames>
    <definedName name="_xlnm._FilterDatabase" localSheetId="1" hidden="1">'вновь вводимые'!$A$9:$E$9</definedName>
    <definedName name="_xlnm._FilterDatabase" localSheetId="0" hidden="1">'реестр услуг'!$A$9:$E$9</definedName>
    <definedName name="_xlnm.Print_Titles" localSheetId="1">'вновь вводимые'!$9:$9</definedName>
    <definedName name="_xlnm.Print_Titles" localSheetId="0">'реестр услуг'!$9:$9</definedName>
    <definedName name="_xlnm.Print_Area" localSheetId="1">'вновь вводимые'!$A$7:$D$323</definedName>
    <definedName name="_xlnm.Print_Area" localSheetId="0">'реестр услуг'!$A$7:$D$62</definedName>
  </definedNames>
  <calcPr fullCalcOnLoad="1"/>
</workbook>
</file>

<file path=xl/sharedStrings.xml><?xml version="1.0" encoding="utf-8"?>
<sst xmlns="http://schemas.openxmlformats.org/spreadsheetml/2006/main" count="986" uniqueCount="403">
  <si>
    <t>Утверждаю:</t>
  </si>
  <si>
    <t>Наименование услуги</t>
  </si>
  <si>
    <t>Ед. измерения</t>
  </si>
  <si>
    <t>руб/час</t>
  </si>
  <si>
    <t>занятие в бассейне (взрослые)</t>
  </si>
  <si>
    <t>занятие в бассейне (дети)</t>
  </si>
  <si>
    <t>занятие в бассейне (абонемент)</t>
  </si>
  <si>
    <t>занятие в бассейне (разовое)</t>
  </si>
  <si>
    <t>Дополнительные услуги образовательных учреждений общего образования</t>
  </si>
  <si>
    <t>Авторская  дополнительная  образовательная программа "Занятия аэробикой с использанием оздоровительных систем" (автор программы В.В.Севидова)</t>
  </si>
  <si>
    <t>руб./час.</t>
  </si>
  <si>
    <t>ОАУОУ общеобразовательная школа- интернат "Белгородский инженерный юношеский лицей-интернат"</t>
  </si>
  <si>
    <t>руб.</t>
  </si>
  <si>
    <t>Производство и реализация кислородного коктейля( одна порция - 200 мл)</t>
  </si>
  <si>
    <t>Дополнительные услуги в учреждениях дополнительного образования детей</t>
  </si>
  <si>
    <t>одна поездка за группу 45 чел., руб.</t>
  </si>
  <si>
    <t xml:space="preserve">Дополнительные услуги в учреждениях дополнительного профессионального образования </t>
  </si>
  <si>
    <t>ОГАПОУ  СПО  "Белгородский педагогический колледж"</t>
  </si>
  <si>
    <t>ОГАПОУ  СПО "Старооскольский педагогический колледж"</t>
  </si>
  <si>
    <t>ГАОУ ДО "Белгородский областной Центр детского и юношеского туризма и экскурсий"</t>
  </si>
  <si>
    <t>руб./курс</t>
  </si>
  <si>
    <t>руб/курс</t>
  </si>
  <si>
    <t>ГБОУ ДОД "Белгородский областной Дворец детского творчества"</t>
  </si>
  <si>
    <t>руб. (час/месяц)</t>
  </si>
  <si>
    <t>Тиражирование олимпиадных материалов (формат А4)</t>
  </si>
  <si>
    <t>1 экз.</t>
  </si>
  <si>
    <t>Тиражирование олимпиадных материалов (формат А3)</t>
  </si>
  <si>
    <t>Дополнительные услуги в учреждениях развития системы оценки качества образования</t>
  </si>
  <si>
    <t>Ксерокопия (текст, картинки, увеличение, уменьшение) формат А4</t>
  </si>
  <si>
    <t>руб/стр.</t>
  </si>
  <si>
    <t>Ксерокопия (текст, картинки, увеличение, уменьшение) формат А3</t>
  </si>
  <si>
    <t xml:space="preserve">Распечатка документа на лазерном принтере (формат А4, черно-белый) </t>
  </si>
  <si>
    <t>Распечатка документа на лазерном принтере (формат А4, цветной)</t>
  </si>
  <si>
    <t>Сканирование с корректировкой текста</t>
  </si>
  <si>
    <t>Сканирование без корректировки текста</t>
  </si>
  <si>
    <t>Набор титульных листов (формат А4) для реферата, доклада</t>
  </si>
  <si>
    <t>Набор титульных листов (формат А4) для курсовой работы, дипломного проекта</t>
  </si>
  <si>
    <t>Набор текстов с рукописного оригинала</t>
  </si>
  <si>
    <t>Корректировка текста</t>
  </si>
  <si>
    <t>Оформление текста картинкой</t>
  </si>
  <si>
    <t>Запись информации на диск</t>
  </si>
  <si>
    <t>руб./опер.</t>
  </si>
  <si>
    <t>Редактирование библиографического списка по запросу пользователя</t>
  </si>
  <si>
    <t>Изготовление пропусков</t>
  </si>
  <si>
    <t>руб./шт.</t>
  </si>
  <si>
    <t>Ламинирование, размер листа 210*297 мм</t>
  </si>
  <si>
    <t>Ламинирование, размер листа 154*216 мм</t>
  </si>
  <si>
    <t>Ламинирование, размер листа 85*120 мм</t>
  </si>
  <si>
    <t>Ламинирование, размер листа 70*100 мм</t>
  </si>
  <si>
    <t>Переплетные работы пластиковыми пружинами, до 50 листов</t>
  </si>
  <si>
    <t>руб./работа</t>
  </si>
  <si>
    <t>Переплетные работы пластиковыми пружинами, 51-100 листов</t>
  </si>
  <si>
    <t>Переплетные работы пластиковыми пружинами, 101-150 листов</t>
  </si>
  <si>
    <t>Переплетные работы пластиковыми пружинами, 151-200 листов</t>
  </si>
  <si>
    <t>Переплетные работы пластиковыми пружинами, 201-250 листов</t>
  </si>
  <si>
    <t>Переплетные работы пластиковыми пружинами, 251-300 листов</t>
  </si>
  <si>
    <t>Проживание на детской туристической базе, на 1чел., 4-х местный номер</t>
  </si>
  <si>
    <t>руб./сутки</t>
  </si>
  <si>
    <t>Проживание на детской туристической базе, на 1чел., 2 (3)-х местный номер</t>
  </si>
  <si>
    <t>Проживание на детской туристической базе, на 1чел., 2-х комнатный номер двухместный</t>
  </si>
  <si>
    <t>Обучение по дополнительным общеобразовательным общеразвивающим программам Подготовка к школе "Я учусь писать красиво"</t>
  </si>
  <si>
    <t xml:space="preserve">Обучение по дополнительным общеобразовательным общеразвивающим программам Подготовка к школе "Цифроград" </t>
  </si>
  <si>
    <t xml:space="preserve">Обучение по дополнительным общеобразовательным общеразвивающим программам Подготовка к школе  "Читай-город" </t>
  </si>
  <si>
    <t xml:space="preserve">Обучение по дополнительным общеобразовательным общеразвивающим программам Подготовка к школе ""Отражение" </t>
  </si>
  <si>
    <t xml:space="preserve">Обучение по дополнительным общеобразовательным общеразвивающим программам Подготовка к школе "Мир, в котором я живу" </t>
  </si>
  <si>
    <t xml:space="preserve">Обучение по дополнительным общеобразовательным общеразвивающим программам "Школа раннего развития "Радуга" "Веселый английский" </t>
  </si>
  <si>
    <t xml:space="preserve">Обучение по дополнительным общеобразовательным общеразвивающим программам "Школа раннего развития "Радуга" "Буратино" </t>
  </si>
  <si>
    <t xml:space="preserve">Обучение по дополнительным общеобразовательным общеразвивающим программам "Школа раннего развития "Радуга" "Пирамидка" </t>
  </si>
  <si>
    <t xml:space="preserve">Обучение по дополнительным общеобразовательным общеразвивающим программам "Школа раннего развития "Радуга" Серебрянный колокольчик </t>
  </si>
  <si>
    <t xml:space="preserve">Обучение по дополнительным общеобразовательным общеразвивающим программам "Школа раннего развития "Радуга" Страна Танцевалия </t>
  </si>
  <si>
    <t xml:space="preserve">Обучение по дополнительным общеобразовательным общеразвивающим программам "Школа раннего развития "Радуга" Волшебная маска </t>
  </si>
  <si>
    <t>руб./км</t>
  </si>
  <si>
    <t>Стоимость проживания в общежитии</t>
  </si>
  <si>
    <t>Проведение медицинских осмотров (предрейсовые, послерейсовые)</t>
  </si>
  <si>
    <t>руб./час</t>
  </si>
  <si>
    <t>Календарная игровая интерактивная программа</t>
  </si>
  <si>
    <t>Тематическая экскурсия "Усадьбы Прохоровского района"-"Ключи" и "Дубрава"- этнографическая деревня, парк, семейная пасека Божковых (с. Сторожевое Прохоровского района)</t>
  </si>
  <si>
    <t>Тематическая экскурсия "Музей Прохоровского района"-"Музей природы Белогорья" и музей истории развития образования (с.Большое и с. Радьковка Прохоровского района)</t>
  </si>
  <si>
    <t>Тематическая экскурсия «Казачий стан» - дом гуся (с. Богородское), собор Успения Пресвятой Богородицы, казачий стан «Сосновое» (Новооскольский район)</t>
  </si>
  <si>
    <t>Тематическая экскурсия «Аграрная Белгородчина» - Дмитриевский сельскохозяйственный техникум, учебные лаборатории, знакомство с сельскохозяйственными профессиями (с. Дмитриевка Яковлевского района)</t>
  </si>
  <si>
    <t>Тематическая экскурсия «Хутор на Гранях» - изба-музей, фазанарий, озеро «Любви», угощение (Грайворонский район)</t>
  </si>
  <si>
    <t>Тематическая экскурсия «Мельница Баркова» – краеведческий музей, Успенский храм, мельница Баркова (Волоконовский район)</t>
  </si>
  <si>
    <t>Тематическая экскурсия «Уездный дворик в г. Короча – историко-краеведческий музей, музейно-просветительский комплекс «Интересный двор уездный», святой источник «Ясный колодец», храм Рождества Пресвятой Богородицы              (г. Короча)</t>
  </si>
  <si>
    <t>Тематическая экскурсия «На родину поэта В.Я. Ерошенко» - дом-музей В.Я. Ерошенко, подворье (с. Обуховка Старооскольского района)</t>
  </si>
  <si>
    <t>Тематическая экскурсия «Тайны пещер русской Голгофы» - Свято-Спасский женский монастырь, храм Серафима Саровского, пещера покаяния (с. Костомарово Воронежской области)</t>
  </si>
  <si>
    <t>Тематическая экскурсия «Современный и молодой г. Строитель» - парк Маршалково, парк роз, Церковь Новомученников и Исповедников Белгородских, историко-краеведческий музей (г. Строитель Яковлевского района)</t>
  </si>
  <si>
    <t>ОГБУ "Белгородскийрегиональный центр оценки качества образования"</t>
  </si>
  <si>
    <t xml:space="preserve">Тематическая  экскурсия по городу  Белгороду «Храмы Белгорода»                                                                               Тематическая экскурсия «Храмы Белгорода» - Преображенский кафедральный собор, Крестовоздвиженский храм, храм в честь иконы Божией Матери «Спорительница хлебов» в                   п. Дубовое
Тематическая экскурсия «Святой, прославивший Белгород в веках» - часовня и пещерка Святителя Иоасафа, духовно-просветительский центр во имя Святителя Иоасафа, Преображенский кафедральный собор.
Тематическая экскурсия «Святые родники Белогорья» - святые источники: Серафима Саровского, Корсунской Божьей Матери, Кошарский.
</t>
  </si>
  <si>
    <t>Тематическая экскурсия «В честь героев Курской битвы» - мемориальный комплекс (Яковлевский район)</t>
  </si>
  <si>
    <t>Тематическая экскурсия «Прохоровское поле» - Звонница, храм Святых Апостолов Петра и Павла, музей боевой славы «Третье ратное поле России» (Прохоровский район)</t>
  </si>
  <si>
    <t>Тематическая экскурсия «По местам боев на Курской дуге» - мемориальный комплекс «В честь героев Курской битвы» (Яковлевский район), музей-заповедник «Прохоровское поле» (Прохоровский район)</t>
  </si>
  <si>
    <t xml:space="preserve">Тематическая экскурсия «Борисовка – слобода воинов, гончаров и иконописцев» - сырный дом     (п. Томаровка Яковлевского района), керамическая фабрика, Дом ремесел (п. Борисовка)                                                                                            Тематическая экскурсия «Природный заповедник «Лес на Ворскле» - керамическая фабрика, храм Архангела Михаила, заповедник «Лес на Ворскле» (п. Борисовка)
Тематическая экскурсия «История п. Борисовка» - историко-краеведческий музей, керамическая фабрика, храм Архангела Михаила (п. Борисовка), сырный дом (п. Томаровка Яковлевского района)
Тематическая экскурсия «На тихих берегах реки Ворскла» - Тихвинский Введенский женский монастырь (п. Борисовка), музей лука (с. Стригуны Борисовского района), конно-спортивный комплекс (п. Томаровка Яковлевского района)
Тематическая экскурсия «Древний город – крепость Хотмыжск» - зимний сад и зоопарк санатория «Красиво», храм Воскресения Христова (с. Хотмыжск Борисовского района)
</t>
  </si>
  <si>
    <t>Обзорная экскурсия «Город Шебекино – прошлое, настоящее, будущее» - историко-художественный музей, храм в честь иконы Божией Матери «Всех скорбящих Радость» (г. Шебекино)</t>
  </si>
  <si>
    <t>Тематическая экскурсия «Бекарюковский бор» - посещение заповедника (с. Маломихайловка Шебекинского района)</t>
  </si>
  <si>
    <t>Тематическая экскурсия «Свято-Троицкий Холковский подземный монастырь» - храм-колокольня в честь равноапостольного князя Владимира, надвратный храм во имя преподобных Антония и Феодосия Киево-Печерских, церковь Донской иконы Божией Матери (с. Холки Чернянского района), святой источник «Ясный колодец» (г. Короча)</t>
  </si>
  <si>
    <t>Тематическая экскурсия «Центр традиционной культуры с. Купино» - музей, крестьянское подворье XIX в., мастерские народных ремесел               (с. Купино Шебекинского района)</t>
  </si>
  <si>
    <t>Тематическая экскурсия «На родину актера  М.С. Щепкина» - музей М.С. Щепкина, крестьянское подворье (с. Алексеевка Яковлевского района)</t>
  </si>
  <si>
    <t xml:space="preserve">Тематическая экскурсия «Усадьба князей Юсуповых» - краеведческий музей, усадебный комплекс князей Юсуповых, старинный парк, Свято-Никольский храм (п. Ракитное)
Тематическая экскурсия «Духовный путь Серафима Тяпочкина» - Свято-Никольский храм, могила Серафима Тяпочкина, краеведческий музей, усадебный комплекс князей Юсуповых, старинный парк (п. Ракитное)
Тематическая экскурсия «Бобравская страусиная ферма» - краеведческий музей (п. Ракитное), ЗАО «Бобравское» страусиная ферма (с. Бобрава Ракитянского района)
</t>
  </si>
  <si>
    <t>Обзорная экскурсия по г. Губкин «Третий магнитный полюс земли» - Спасо-Преображенский кафедральный собор, музей истории КМА, смотровая площадка ОАО «Лебединский ГОК» (Губкинский городской округ)</t>
  </si>
  <si>
    <t>Тематическая экскурсия «На родину поэта-декабриста В.Ф. Раевского» - дворянская усадьба семьи Раевских, старинный парк, липовая аллея               (с. Богословка Губкинского района)</t>
  </si>
  <si>
    <t>Тематическая экскурсия «Заповедник Ямская степь» - посещение заповедника (Губкинский район)</t>
  </si>
  <si>
    <t xml:space="preserve">Обзорная экскурсия по г. Старый Оскол «Староосколье» - Кафедральный собор Святого благоверного князя Александра Невского, краеведческий музей, зоопарк или дендропарк (по выбору) (Старооскольский район)
Тематическая экскурсия «Кондитерская фабрика «Славянка» - кондитерская фабрика «Славянка», Кафедральный собор Святого благоверного князя Александра Невского (Старооскольский городской округ)
</t>
  </si>
  <si>
    <t xml:space="preserve">Обзорная экскурсия по г. Грайворон «Грайворон и Круглое здание» - г. Грайворон, «Здание Круглое» с. Головчино (Грайворонский район)
Тематическая экскурсия «Загадка Круглого здания» - парк XIX века, «Здание Круглое» в             с. Головчино (Грайворонский район)
Тематическая экскурсия «Грайворон – жемчужина Белогорья» - мемориал Памяти, духовно-просветительский Центр во имя Святителя Иоасафа, храм-часовня Святителя Иоасафа, музей В.Г. Шухова, зоопарк «Птичье царство»                         (г. Грайворон)
</t>
  </si>
  <si>
    <t xml:space="preserve">Обзорная экскурсия по г. Валуйки «На родину генерала армии Н.Ф. Ватутина» - дом-музей генерала армии Н.Ф. Ватутина, подворье в с. Ватутино (Валуйский район)
Тематическая экскурсия «Историко-культурный пещерный комплекс Игнатия Богоносца» - Успенский Николаевский мужской монастырь, пещерный монастырь Игнатия Богоносца (Валуйский район)
</t>
  </si>
  <si>
    <t>Обзорная экскурсия по г. Алексеевка «Солнечный край» - краеведческий музей, историко-литературный музей Н.В. Станкевича в                         с. Мухоудеровка (Алексеевский район)</t>
  </si>
  <si>
    <t>Обзорная по г. Курску «Судьбой и славою едины: Белгород – Курск» - краеведческий музей, планетарий, Мемориальная арка, Знаменский кафедральный собор (г. Курск)</t>
  </si>
  <si>
    <t>Тематическая экскурсия «Марьино - усадьба князей Барятинских» - фамильная усадьба, дворцово-парковый комплекс (п. Марьино Курской области)</t>
  </si>
  <si>
    <t>Тематическая экскурсия Атом-град соловьиного края» - информационно-аналитический центр Курской АЭС, музей атомной энергетики, музей И.В. Курчатова (г. Курчатов Курской области)</t>
  </si>
  <si>
    <t>Тематическая экскурсия «Гора Ивана Рыльского» - краеведческий музей, Свято-Николаевский мужской монастырь, гора Ивана Рыльского                  (г. Рыльск Курской области)</t>
  </si>
  <si>
    <t>Тематическая экскурсия «Свято-Тихонский Задонский монастырь» - мужской и женский монастыри, купель Тихона Задонского (г. Задонск Липецкой области)</t>
  </si>
  <si>
    <t>Обзорная по г. Воронеж «Воронеж – столица Черноземья» - музей, океанариум (г.Воронеж)</t>
  </si>
  <si>
    <t>Тематическая «Дивногорье» - Дивногорский Свято-Успенский мужской монастырь, меловые столбы горы Дивы (Воронежская область)</t>
  </si>
  <si>
    <t>Тематическая «В гости к Ивану Сергеевичу Тургеневу» - фамильная усадьба, дом-музей                 И.С. Тургенева, литературный музей, парк                        (п. Спасское-Лутовиново Орловской области)</t>
  </si>
  <si>
    <t xml:space="preserve">Дополнительные  услуги в учреждениях </t>
  </si>
  <si>
    <t xml:space="preserve">Концертно-исполнительная деятельность вокального и хореографического коллектива </t>
  </si>
  <si>
    <t>Рекомендуем установить договорную цену в соответствии с фактическими затратами на мероприятие</t>
  </si>
  <si>
    <t>Транспортные услуги (стоимость пробега 1 км автобуса)</t>
  </si>
  <si>
    <t xml:space="preserve">Обучение по дополнительным профессиональным программам повышения квалификации (с участием приглашенного высококвалифицированного специалиста) </t>
  </si>
  <si>
    <t>Час</t>
  </si>
  <si>
    <t xml:space="preserve">Обучение по дополнительным профессиональным программам повышения квалификации (электронное, дистанционное, on-line) (18 часов) </t>
  </si>
  <si>
    <t>Курс</t>
  </si>
  <si>
    <t xml:space="preserve">Обучение по дополнительным профессиональным программам повышения квалификации (электронное, дистанционное, on-line) (36 часов)   </t>
  </si>
  <si>
    <t xml:space="preserve">Обучение по дополнительным профессиональным программам повышения квалификации (электронное, дистанционное, on-line) (40 часов) </t>
  </si>
  <si>
    <t>Обучение по дополнительным профессиональным программам повышения квалификации (электронное, дистанционное, on-line) (72 часов)</t>
  </si>
  <si>
    <t xml:space="preserve">Обучение по дополнительным профессиональным программам повышения квалификации (108 часов)  </t>
  </si>
  <si>
    <t xml:space="preserve">Обучение по дополнительным профессиональным программам повышения квалификации (электронное, дистанционное, on-line) (250 часов)  </t>
  </si>
  <si>
    <t>Обучение по дополнительнымпрофессиональные программы профессиональной переподготовки (280 часов)</t>
  </si>
  <si>
    <t>Обучение по дополнительным профессиональные программы профессиональной переподготовки (280 часов) с посещением инновационных, стажировочных площадок</t>
  </si>
  <si>
    <t>Обучение по дополнительным профессиональные программы профессиональной переподготовки (316 часов)</t>
  </si>
  <si>
    <t>Обучение по дополнительным профессиональные программы профессиональной переподготовки (316 часов) с посещением инновационных, стажировочных площадок</t>
  </si>
  <si>
    <t>Обучение по дополнительным профессиональные программы профессиональной переподготовки (360 часов)</t>
  </si>
  <si>
    <t>Обучение по дополнительным профессиональные программы профессиональной переподготовки (360 часов) с посещением инновационных, стажировочных площадок</t>
  </si>
  <si>
    <t>Обучение по дополнительным профессиональные программы профессиональной переподготовки (504 часов)</t>
  </si>
  <si>
    <t>Обучение по дополнительным профессиональные программы профессиональной переподготовки (504 часов) с посещением инновационных, стажировочных площадок</t>
  </si>
  <si>
    <t>Обучение по дополнительным профессиональные программы профессиональной переподготовки (1005 часов)</t>
  </si>
  <si>
    <t>услуга</t>
  </si>
  <si>
    <t>Использование электронных книжных баз (1 книга)</t>
  </si>
  <si>
    <t>Сканирование с корректировкой текста (1 страница)</t>
  </si>
  <si>
    <t>Сканирование без корректировки текста (1 страница)</t>
  </si>
  <si>
    <t>Набор текста с рукописного оригинала (1 страница)</t>
  </si>
  <si>
    <t>Обучение по дополнительным профессиональным программам повышения квалификации (очная,заочная,очно-заочнаяи дистанционная формы обучения)</t>
  </si>
  <si>
    <t>1.</t>
  </si>
  <si>
    <t>2.</t>
  </si>
  <si>
    <t>3.</t>
  </si>
  <si>
    <t>4.</t>
  </si>
  <si>
    <t>5.</t>
  </si>
  <si>
    <t>Курсы живописи,графики,дизайн</t>
  </si>
  <si>
    <t>№ п/п</t>
  </si>
  <si>
    <t>Обучение плаванию</t>
  </si>
  <si>
    <t>1 акад.час</t>
  </si>
  <si>
    <t>Курсы компьютерного моделирования в 3D Studio МАХ</t>
  </si>
  <si>
    <t>ОГАОУ ДПО "Белгородский институт развития образования"</t>
  </si>
  <si>
    <t>Курсы ландшафтного дизайна</t>
  </si>
  <si>
    <t>Курсы по дизайну интерьера Вашего дома</t>
  </si>
  <si>
    <t>Курсы изготовления авторской куклы</t>
  </si>
  <si>
    <t>Курсы лоскутного шитья</t>
  </si>
  <si>
    <t>Курсы росписи на ткани</t>
  </si>
  <si>
    <t>Курсы искусства парикмахерского дела</t>
  </si>
  <si>
    <t>Курсы искусства косметологии и макияжа</t>
  </si>
  <si>
    <t>Курсы спортивного туризма</t>
  </si>
  <si>
    <t>Курсы массажа, лечебной физической культуры</t>
  </si>
  <si>
    <t>Курсы антицеллюлитного массажа</t>
  </si>
  <si>
    <t>Курсы материнского массажа</t>
  </si>
  <si>
    <t>Курсы делопроизводства</t>
  </si>
  <si>
    <t>Ремонт и реставрация одежды</t>
  </si>
  <si>
    <t>Основы компьютерной грамотности</t>
  </si>
  <si>
    <t>Вязание крючком и спицами</t>
  </si>
  <si>
    <t>Искусство вышивки</t>
  </si>
  <si>
    <t>Дизайн одежды</t>
  </si>
  <si>
    <t>Дизайн штор</t>
  </si>
  <si>
    <t>Изготовление авторской игрушки</t>
  </si>
  <si>
    <t>Искусство формирования имиджа</t>
  </si>
  <si>
    <t>Мировая художественная культура</t>
  </si>
  <si>
    <t>Стоимость проживания в общежитии с оплатой за месяц</t>
  </si>
  <si>
    <t>руб. в месяц</t>
  </si>
  <si>
    <t>Стоимость проживания в общежитии с посуточной оплатой</t>
  </si>
  <si>
    <t>руб. в сутки</t>
  </si>
  <si>
    <t>Стоимость проживания в общежитии с посуточной оплатой (государственое задание)</t>
  </si>
  <si>
    <t>Оказание услуг по подготовке и размещению публикаций на сайте. Публикация размещается через 5 дней с момента подачи заявки</t>
  </si>
  <si>
    <t xml:space="preserve"> - программы, сборника материалов</t>
  </si>
  <si>
    <t xml:space="preserve"> - урока, сценария занятий, статьи, педагогического опыта</t>
  </si>
  <si>
    <t>Оказание услуг по публикации авторского материала на сайте:</t>
  </si>
  <si>
    <t xml:space="preserve"> - уроки, сценарии занятий, программы, статьи, сборника материалов</t>
  </si>
  <si>
    <t xml:space="preserve"> - педагогический опыт</t>
  </si>
  <si>
    <t>Переплет с пружиной 6–8 mm (с пластиковой обложкой) до 40 листов</t>
  </si>
  <si>
    <t>Переплет с пружиной 10–12 mm (с пластиковой обложкой) до 80 листов</t>
  </si>
  <si>
    <t>Переплет с пружиной 14–16 mm (с пластиковой обложкой) до 120 листов</t>
  </si>
  <si>
    <t>Переплет с пружиной 19–22 mm (с пластиковой обложкой) до 180 листов</t>
  </si>
  <si>
    <t>Переплет с пружиной 25-28 mm (с пластиковой обложкой) до 240 листов</t>
  </si>
  <si>
    <t>Переплет с пружиной 32–38 mm (с пластиковой обложкой) до 340 листов</t>
  </si>
  <si>
    <t>Переплет с пружиной 45–51 mm (с пластиковой обложкой) до 500 листов</t>
  </si>
  <si>
    <t xml:space="preserve">Ламинирование пакетом, формат А5 </t>
  </si>
  <si>
    <t>Ламинирование пакетом, формат А4</t>
  </si>
  <si>
    <t>Ламинирование пакетом, формат А3</t>
  </si>
  <si>
    <t>Переплет на металлическую пружину 4.8 мм до 20 листов</t>
  </si>
  <si>
    <t>Переплет на металлическую пружину 6.4 мм до 30 листов</t>
  </si>
  <si>
    <t>Переплет на металлическую пружину 7.9 мм до 45 листов</t>
  </si>
  <si>
    <t>Переплет на металлическую пружину 9.5 мм до 60 листов</t>
  </si>
  <si>
    <t>Переплет на металлическую пружину 12.7 мм до 90 листов</t>
  </si>
  <si>
    <t xml:space="preserve">Печать на цветном лазерном принтере односторонняя, формат А4 </t>
  </si>
  <si>
    <t xml:space="preserve">Печать на цветном лазерном принтере односторонняя, формат А3 </t>
  </si>
  <si>
    <t>Публикация статьи в издании (за 2600 знаков с пробелами)</t>
  </si>
  <si>
    <t>Корректировка текста (1страница)</t>
  </si>
  <si>
    <t>Распечатка на лазерном принтере (формат А-4, черно-белый)</t>
  </si>
  <si>
    <t>Термоклеевой переплет А5 формата</t>
  </si>
  <si>
    <t>Термоклеевой переплет А4 формата</t>
  </si>
  <si>
    <t>Брошюрование на скобу (за 1 экз.)</t>
  </si>
  <si>
    <t>Редактирование (1 уч.-изд.лист.)</t>
  </si>
  <si>
    <t>Составление библиографического списка (1 название)</t>
  </si>
  <si>
    <t>Редактирование библиографического списка</t>
  </si>
  <si>
    <t>Стоимость проживания в общежитии в одноместном Номере "Люкс"</t>
  </si>
  <si>
    <t>Экспертиза материалов (за один печатный лист)</t>
  </si>
  <si>
    <t>экспертиза</t>
  </si>
  <si>
    <t>Рецензирование материалов, размещение в РИНЦ (за один печатный лист)</t>
  </si>
  <si>
    <t>заявка</t>
  </si>
  <si>
    <t>лист</t>
  </si>
  <si>
    <t>Организационный взнос за участие в региональном семинаре (без приглашенных специалистов)</t>
  </si>
  <si>
    <t>Взнос</t>
  </si>
  <si>
    <t>Организационный взнос за участие в региональном семинаре (с приглашениями специалистов)</t>
  </si>
  <si>
    <t>Организационный взнос за участие в вебинаре</t>
  </si>
  <si>
    <t>Организационный взнос за участие во всероссийском форуме, ярмарке, ассамблее, конференции (очно)</t>
  </si>
  <si>
    <t>Организационный взнос за участие во всероссийском форуме, ярмарке, ассамблее,  конференции (заочно)</t>
  </si>
  <si>
    <t>Организационный взнос за участие в региональном форуме, ярмарке, ассамблее, конференции (очно, заочно)</t>
  </si>
  <si>
    <t>Организационный взнос  за участие в конкурсе, викторине, олимпиаде (очно)</t>
  </si>
  <si>
    <t>Организационный взнос  за участие в конкурсе, викторине, олимпиаде (заочно)</t>
  </si>
  <si>
    <t>Подписка годовая за участие в мастер-классах</t>
  </si>
  <si>
    <t>Изготовление бланка грамоты, благодарности, диплома, свидетельства,сертификата А4 (односторонний полноценный)</t>
  </si>
  <si>
    <t>Бланк</t>
  </si>
  <si>
    <t xml:space="preserve">Изготовление блокнота на пластиковой пружине с  цветной обложкой А5 (40 л) </t>
  </si>
  <si>
    <t>шт.</t>
  </si>
  <si>
    <t xml:space="preserve">Изготовление блокнота на пластиковой пружине с  цветной обложкой А6 (40 л) </t>
  </si>
  <si>
    <t xml:space="preserve">Изготовление блокнота на металлической пружине с  цветной обложкой А5 (40 л) </t>
  </si>
  <si>
    <t xml:space="preserve">Изготовление блокнота на металлической пружине с  цветной обложкой А6 (40 л) </t>
  </si>
  <si>
    <t>Алгоритм Успеха</t>
  </si>
  <si>
    <r>
      <t xml:space="preserve">Тематическая экскурсия «Курская Коренная пустынь» - историко-культурный центр «Коренная пустынь», Знаменский мужской монастырь, святые источники, </t>
    </r>
    <r>
      <rPr>
        <sz val="14"/>
        <color indexed="8"/>
        <rFont val="Times New Roman"/>
        <family val="1"/>
      </rPr>
      <t>собор Рождества Пресвятой Богородицы (</t>
    </r>
    <r>
      <rPr>
        <sz val="14"/>
        <rFont val="Times New Roman"/>
        <family val="1"/>
      </rPr>
      <t>п. Свобода Курской области)</t>
    </r>
  </si>
  <si>
    <r>
      <t xml:space="preserve">Тематическая экскурсия «Берендеево царство» - </t>
    </r>
    <r>
      <rPr>
        <sz val="14"/>
        <color indexed="8"/>
        <rFont val="Times New Roman"/>
        <family val="1"/>
      </rPr>
      <t>детская База Сказок, анимационная программа (</t>
    </r>
    <r>
      <rPr>
        <sz val="14"/>
        <rFont val="Times New Roman"/>
        <family val="1"/>
      </rPr>
      <t>с. Почаево Грайворонского района)</t>
    </r>
  </si>
  <si>
    <t>Прочие услуги</t>
  </si>
  <si>
    <t>Организационный взнос за участие в международном форуме, ярмарке, ассамблее, конференции (заочно)</t>
  </si>
  <si>
    <t>Организационный взнос за участие в международном форуме, ярмарке, ассамблее, конференции (очно)</t>
  </si>
  <si>
    <t>Организационный взнос для участия в научно-методических изданиях  (электронный сборник)</t>
  </si>
  <si>
    <t>Публикация 1 страницы в электронном издании (за 2600 знаков с пробелами)</t>
  </si>
  <si>
    <t>Услуга</t>
  </si>
  <si>
    <t>Подготовка методических семинаров, вебинаров, круглых столов,  конкурсов, форумов, ярмарок, ассамблей,  конференций</t>
  </si>
  <si>
    <t>7 429-14 611</t>
  </si>
  <si>
    <t>Проведение методических семинаров, вебинаров, круглых столов, конкурсов, форумов, ярмарок, ассамблей,  конференций</t>
  </si>
  <si>
    <t>7 244-14 426</t>
  </si>
  <si>
    <t>Разработка дополнительных профессиональных программ переподготовки</t>
  </si>
  <si>
    <t>23 713-46 156</t>
  </si>
  <si>
    <t>Переработка дополнительных профессиональных программ переподготовки</t>
  </si>
  <si>
    <t>11 939-23 161</t>
  </si>
  <si>
    <t>Разработка дополнительных профессиональных программ повышения квалификации</t>
  </si>
  <si>
    <t>9 784-18 761</t>
  </si>
  <si>
    <t>Переработка дополнительных профессиональных программ повышения квалификации</t>
  </si>
  <si>
    <t>4 975-9 464</t>
  </si>
  <si>
    <t>Разработка учебно-методического блока УМК программы, за исключением КИМов</t>
  </si>
  <si>
    <t>25 570-49 809</t>
  </si>
  <si>
    <t>Разработка электронного контента для дополнительных профессиональных программ</t>
  </si>
  <si>
    <t>25 072-49 311</t>
  </si>
  <si>
    <t xml:space="preserve">Разработка 1 комплекта оценочных средств (тестовых заданий/КИМов) для промежуточного и итогового контроля слушателей по программам, тестовых заданий для входного и выходного контроля, экзаменационных билетов  </t>
  </si>
  <si>
    <t>7 927-15 109</t>
  </si>
  <si>
    <t xml:space="preserve">Тестирование (электронное, дистанционное, on-line) </t>
  </si>
  <si>
    <t>Образовательные услуги</t>
  </si>
  <si>
    <t>Обучение по дополнительным профессиональные программы профессиональной переподготовки (1005 часов)   с посещением инновационных, стажировочных площадок</t>
  </si>
  <si>
    <t>Обучение по  дополнительной профессиональной программе повышения квалификации в форме стажировки (18 часов)</t>
  </si>
  <si>
    <t xml:space="preserve">Обучение по дополнительной общеобразовательной программе обеспечивающей подготовку иностранных граждан и лиц без гражданства к освоению профессиональных образовательных программ на русском языке (2 376 часов) </t>
  </si>
  <si>
    <t xml:space="preserve">Обучение по дополнительной общеобразовательной программе обеспечивающей подготовку иностранных граждан и лиц без гражданства к освоению профессиональных образовательных программ на русском языке (1 188 часов) </t>
  </si>
  <si>
    <t xml:space="preserve">Обучение по дополнительной общеобразовательной программе обеспечивающей подготовку иностранных граждан и лиц без гражданства к освоению профессиональных образовательных программ на русском языке (792 часов) </t>
  </si>
  <si>
    <t>Полиграфические услуги</t>
  </si>
  <si>
    <t xml:space="preserve">Печать на монохромном лазерном принтере  односторонняя, формат А4 </t>
  </si>
  <si>
    <t>Печать на монохромном лазерном принтере  двусторонняя, формат А4</t>
  </si>
  <si>
    <t>Печать на монохромном лазерном принтере  односторонняя, формат А3</t>
  </si>
  <si>
    <t>Печать на монохромном лазерном принтере  двусторонняя, формат А3</t>
  </si>
  <si>
    <t>Монохромная печать на цветном лазерном принтере  односторонняя, формат А4</t>
  </si>
  <si>
    <t>Монохромная печать на цветном лазерном принтере  двусторонняя, формат А4</t>
  </si>
  <si>
    <t>Монохромная печать на цветном лазерном принтере  односторонняя, формат А3</t>
  </si>
  <si>
    <t>Монохромная печать на цветном лазерном принтере  двусторонняя, формат А3</t>
  </si>
  <si>
    <t xml:space="preserve">Стоимость печати на монохромном лазерном принтере  односторонняя, формат А4 </t>
  </si>
  <si>
    <t>Стоимость печати на монохромном лазерном принтере  двусторонняя, формат А4</t>
  </si>
  <si>
    <t>Монохромная печать на цветном лазерном принтере  (книжная продукция), формат А4</t>
  </si>
  <si>
    <t>Монохромная печать на цветном лазерном принтере  (книжная продукция), формат А3</t>
  </si>
  <si>
    <t>Изготовление оригинал-макета книги</t>
  </si>
  <si>
    <t>Разработка дизайна обложки</t>
  </si>
  <si>
    <t>Изготовление визитной карточки (4+0)</t>
  </si>
  <si>
    <t>Изготовление визитной карточки (4+4)</t>
  </si>
  <si>
    <t xml:space="preserve">Присвоение ISBN (международный стандартный книжный номер)                                             </t>
  </si>
  <si>
    <t>Фольцовка (1страница)</t>
  </si>
  <si>
    <t>Общеобразовательные услуги</t>
  </si>
  <si>
    <t>Предшкольная подготовка (30 мин.)</t>
  </si>
  <si>
    <t>Олимпиадная школа по предметам естественно - научного цикла (45 мин.)</t>
  </si>
  <si>
    <t>Олимпиадная школа по предметам гуманитарного цикла (45 мин.)</t>
  </si>
  <si>
    <t>Предметная школа естественно – научного цикла (45 мин.)</t>
  </si>
  <si>
    <t>Предметная школа гуманитарного цикла (45 мин.)</t>
  </si>
  <si>
    <t>Творческая школа художественно – эстетической направленности (45 мин.)</t>
  </si>
  <si>
    <t>Развитие познавательных способностей (45 мин.)</t>
  </si>
  <si>
    <t>Азбука счёта</t>
  </si>
  <si>
    <t>Азбука письма</t>
  </si>
  <si>
    <t>Мир вокруг меня</t>
  </si>
  <si>
    <t>Услуга по организации и проведение мероприятий в спортивном зале, на стадионе (60 мин.)</t>
  </si>
  <si>
    <t>Услуга по организации и проведение мероприятий в концертном зале (60 мин.)</t>
  </si>
  <si>
    <t>Занятия по дополнительным образовательным программам для учащихся 1-11 классов:</t>
  </si>
  <si>
    <t>«Шаги к успеху»</t>
  </si>
  <si>
    <t>человеко - час</t>
  </si>
  <si>
    <t>«Математическая физика»</t>
  </si>
  <si>
    <t>«Язык и речь»</t>
  </si>
  <si>
    <t>«Занимательная грамматика»</t>
  </si>
  <si>
    <t>«Чудеса своими руками»</t>
  </si>
  <si>
    <t>«Физика и методы научного познания», «Аналитическое познание физики»</t>
  </si>
  <si>
    <t>«Актуальные вопросы русской орфографии», «Биология в вопросах и ответах»</t>
  </si>
  <si>
    <t>6.</t>
  </si>
  <si>
    <t>Платные образовательные услуги для 1-4 классов</t>
  </si>
  <si>
    <t>в том числе:</t>
  </si>
  <si>
    <t>«Мир геометрии», 33 часа (1 час в неделю), 1 класс</t>
  </si>
  <si>
    <t>«Тайны русского языка», 33 часа (1 час в неделю), 1 класс</t>
  </si>
  <si>
    <t>«Мир геометрии», 34 часа (1 час в неделю), 2 класс</t>
  </si>
  <si>
    <t>«Тайны русского языка», 34 часа (1 час в неделю), 2 класс</t>
  </si>
  <si>
    <t>«Мир геометрии», 34 часа (1 час в неделю), 3 класс</t>
  </si>
  <si>
    <t>«Тайны русского языка», 34 часа (1 час в неделю), 3 класс</t>
  </si>
  <si>
    <t>«Путь к грамотности», 34 часа (1 час в неделю), 4 класс</t>
  </si>
  <si>
    <t xml:space="preserve">«Мир геометрии», 34 часа (1 час в неделю), 4 класс </t>
  </si>
  <si>
    <t>«Английский язык», 68 часов (2 часа в неделю), 3 класс</t>
  </si>
  <si>
    <t>7.</t>
  </si>
  <si>
    <t>Платные образовательные услуги для 6-9 классов</t>
  </si>
  <si>
    <t xml:space="preserve">«История России в лицах . Х-ХХ в.в.», 34 часа (1 час в неделю), 6 класс </t>
  </si>
  <si>
    <t>«Решение задач повышенной сложности по физике», 68 часов (2 часа в неделю), 8 класс</t>
  </si>
  <si>
    <t>«Алгоритмика», 68 часов (2 часа в неделю), 8-9 класс</t>
  </si>
  <si>
    <t>«Азбука трудоустройства», 34 часа (1 час в неделю), 9 класс</t>
  </si>
  <si>
    <t>«Решение расчетных задач по химии», 34 часа (1 час в неделю), 9 класс</t>
  </si>
  <si>
    <t>«Лестница успеха подготовки к ГИА по биологии», 34 часа (1 час в неделю), 9 класс</t>
  </si>
  <si>
    <t>«Лингвистика», 68 часов (2 часа в неделю), 9 класс</t>
  </si>
  <si>
    <t>«Математика в математике», 68 часов (2 часа в неделю), 9 класс</t>
  </si>
  <si>
    <t>«Решение задач повышенной сложности по географии», 34 часа (1 час в неделю), 9 класс</t>
  </si>
  <si>
    <t>8.</t>
  </si>
  <si>
    <t>Платные образовательные услуги для 10-11 классов</t>
  </si>
  <si>
    <t>«Задачи с параметрами», 68 часов (2 часа в неделю), 10 класс</t>
  </si>
  <si>
    <t>«Человек. Общество. Мир», 68 часов (2 часа в неделю), 10 класс</t>
  </si>
  <si>
    <t>«Подготовка к ЕГЭ по информатике», 68 часов (2 часа в неделю), 11 класс</t>
  </si>
  <si>
    <t>«Человек. Общество. Мир», 68 часов (2 часа в неделю), 11 класс</t>
  </si>
  <si>
    <t>9.</t>
  </si>
  <si>
    <t>Платные образовательные услуги для 11 классов, довузовская подготовка</t>
  </si>
  <si>
    <t>«Довузовская подготовка по математике», 68 часов (2 часа в неделю), 11 класс</t>
  </si>
  <si>
    <t>«Довузовская подготовка по биологии», 68 часов (2 часа в неделю), 11 класс</t>
  </si>
  <si>
    <t>Предельная (максимальная) стоимость услуг, руб.</t>
  </si>
  <si>
    <t>10.</t>
  </si>
  <si>
    <t>11.</t>
  </si>
  <si>
    <t>12.</t>
  </si>
  <si>
    <t>13.</t>
  </si>
  <si>
    <t>алгоритм</t>
  </si>
  <si>
    <t>Математика для одарённых (45 мин.)</t>
  </si>
  <si>
    <t>Курс "Мой иностранный" (немецкий, французский, китайский, испанский, английский) 60 мин.</t>
  </si>
  <si>
    <t>Английский для дошкольников (30 мин.)</t>
  </si>
  <si>
    <t>Школа раннего развития "Успех" (30 мин.)</t>
  </si>
  <si>
    <t>Развитие речи (30 мин.)</t>
  </si>
  <si>
    <t>алгоритм,9</t>
  </si>
  <si>
    <t>шл</t>
  </si>
  <si>
    <t>алгоритм,шл</t>
  </si>
  <si>
    <t>ст оскол</t>
  </si>
  <si>
    <t>губкин</t>
  </si>
  <si>
    <t>Обучение по дополнительной общеразвивающей программе "Амигуруми – японское искусство вязания игрушек" 24 часа</t>
  </si>
  <si>
    <t>Обучение по дополнительной общеразвивающей программе "Избирательное право и избирательный процесс в Российской Федерации" 85 часов</t>
  </si>
  <si>
    <t>Обучение по дополнительной общеразвивающей программе "Избирательное право и избирательный процесс в Российской Федерации" 56 часов</t>
  </si>
  <si>
    <t>Печать на цветном лазерном принтере  односторонняя, формат А4 Xerox Versa Link</t>
  </si>
  <si>
    <t>Печать на цветном лазерном принтере  двусторонняя, формат А4 Xerox Versa Link</t>
  </si>
  <si>
    <t>Печать на цветном лазерном принтере  односторонняя, формат А3 Xerox Versa Link</t>
  </si>
  <si>
    <t>Печать на цветном лазерном принтере  двусторонняя, формат А3Xerox Versa Link</t>
  </si>
  <si>
    <t>Печать на цветном лазерном принтере  (книжная продукция), формат А4Xerox Versa Link</t>
  </si>
  <si>
    <t>Печать на цветном лазерном принтере  (книжная продукция), формат А3Xerox Versa Link</t>
  </si>
  <si>
    <t>Печать на монохромном лазерном принтере  (книжная продукция), формат А4 Xerox Alta Link</t>
  </si>
  <si>
    <t>Печать на монохромном лазерном принтере  (книжная продукция), формат А3Xerox Alta Link</t>
  </si>
  <si>
    <t>1 занятие</t>
  </si>
  <si>
    <t>Обучение "Подготовка к школе" (для детей 6-7 лет) в т.ч. "Читай-ка", "Введение в математику",  "Мой мир", "Рисование" (30 мин.)</t>
  </si>
  <si>
    <t>58-113</t>
  </si>
  <si>
    <t>558-1091</t>
  </si>
  <si>
    <t>1101-2164</t>
  </si>
  <si>
    <t>2185-4311</t>
  </si>
  <si>
    <t>3270-6457</t>
  </si>
  <si>
    <t>6544-12920</t>
  </si>
  <si>
    <t>1670-3378</t>
  </si>
  <si>
    <t>Реестр платных услуг, оказываемых областными государственными учреждениями, подведомственными департаменту образования области с 1 сентября 2021 года</t>
  </si>
  <si>
    <t>43-344</t>
  </si>
  <si>
    <t>43-172</t>
  </si>
  <si>
    <t>123-984</t>
  </si>
  <si>
    <t>Приложение к приказу  департамента образования области                                                                                                       _______2021 года №________________</t>
  </si>
  <si>
    <t>71-1704</t>
  </si>
  <si>
    <t>71-568</t>
  </si>
  <si>
    <t>71-284</t>
  </si>
  <si>
    <t>Обучение по дополнительным общеобразовательным общеразвивающим программам "Шкода" (музыкально-хореографическая студия)</t>
  </si>
  <si>
    <t>Обучение по программе: Развитие речи (индивидуальные занятия)</t>
  </si>
  <si>
    <t>Обзорная экскурсия по г. Белгороду с посещением одного (двух) экскурсионных объектов: 
 – историко-краеведческий музей;
 – музей-диорама «Курская битва. Белгородское направление»;
 – музей народной культуры;
 – художественный музей;
 – литературный музей;
 – Пушкинская библиотека-музей;
 – музей-мастерская С.С. Косенкова;
 – музей связи;
 – музей хладокомбината (с дегустацией мороженого);
 – музей Белгородского государственного академического драматического театра им. М.С. Щепкина;
 – музей энергетики;
 – музей истории ветеринарии;
 – выставочный зал «Родина»;
 – НИУ БелГУ (музей университета, зимний сад, минералогический музей);
– конноспортивная школа НИУ БелГУ;
 – ботанический сад НИУ БелГУ;
 – учебно-спортивный комплекс НИУ БелГУ Светланы Хоркиной;
 – музейно-выставочный комплекс БГТУ им.В.Г. Шухова;
– зоопарк;
 – пожарная часть.</t>
  </si>
  <si>
    <t xml:space="preserve">Обзорная экскурсия по г. Белгороду «Мой белый город»:   
Обзорная экскурсия по г. Белгороду
Тематическая экскурсия «Белгород, опаленный войной» - воинская часть № 20925, музей истории военно-морского флота МБОУ «СОШ № 29 им. Д.Б. Мурачева г. Белгорода»
Тематическая экскурсия «От картинга – к «Формуле – 1» - автоспортивный комплекс «Вираж», музей старинных автомобилей, школа картинга, катание на картах по закрытой трассе
Тематическая экскурсия «Рождение фотографии» - галерея фотоискусства им. В.А. Собровина; виды города, архитектура, городские пейзажи в фотографиях
Тематическая экскурсия «Зеленый свет юным белгородцам» - музей УВД, правила дорожного движения
Тематическая экскурсия «Вкусная экскурсия по  г. Белгороду» - ОАО «Белгородский хладокомбинат», ОГАПОУ «Белгородский техникум общественного питания», обед
Тематическая экскурсия «Аэропорт: Белгород и столицы мира» - ООО «Международный аэропорт Белгород», обед на Фабрике бортового питания
Тематическая экскурсия «Путешествие в сказочный мир» - театр кукол
</t>
  </si>
  <si>
    <t>Тематическая экскурсия по г. Белгороду профориентационной направленности с посещением одного (двух) образовательных учреждений: 
Учреждения высшего профессионального образования:
 - Белгородский государственный национальный исследовательский университет;
 - Белгородский государственный технологический университет  им. В.Г. Шухова;
 - Белгородский государственный аграрный университет им. В.Я. Горина;
 - Белгородский университет кооперации, экономики и права;
 - Белгородский юридический институт Министерства внутренних дел РФ;
 - Белгородский государственный институт искусств и культуры;
- Белгородская Православная Духовная семинария;
Учреждения среднеспециального профессионального образования:
 - Белгородский индустриальный колледж;
 - Белгородский механико-технологический колледж;
 - Белгородский педагогический колледж;
 - Белгородский строительный колледж;
 - Медицинский колледж НИУ «БелГУ»;
 - Белгородское музыкальное училище им.С.А. Дегтярева;
 - Белгородский техникум общественного питания;
 - Белгородский политехнический колледж;
 - Белгородский техникум промышленности и сферы услуг;
 - Белгородский правоохранительный колледж им. Героя России В.В. Бурцева;</t>
  </si>
  <si>
    <t>«Законы русской орфографии», «Права и обязанности гражданина РФ», «Политика и право»</t>
  </si>
  <si>
    <t>Обучение по дополнительной общеразвивающей программе "Карвинг для начинающих" 24 часа</t>
  </si>
  <si>
    <t>Подготовительные занятия для будующих первоклассников:
- познаем мир;
- учимся родному языку;
- учимся думать, рассуждать, фантазировать;
- учимся рисовать;
- веселый английский;
- хочу учиться.</t>
  </si>
  <si>
    <t>«Юный математик»</t>
  </si>
  <si>
    <t>Реестр вновь вводимых платных услуг, оказываемых областными государственными учреждениями, подведомственными департаменту образования области с 1 сентября 2021 года</t>
  </si>
  <si>
    <t>Приложение к приказу  департамента образования области                                                                                                     12.10.2020 года №_2581____</t>
  </si>
  <si>
    <t>Школа будущего первоклассника:</t>
  </si>
  <si>
    <t>Математика для одарённых (60 мин.)</t>
  </si>
  <si>
    <t>Азбука счёта (30 мин.)</t>
  </si>
  <si>
    <t>Азбука письма  (30 мин.)</t>
  </si>
  <si>
    <t>Мир вокруг меня  (30 мин.)</t>
  </si>
  <si>
    <t>Азбука счёта  (30 мин.)</t>
  </si>
  <si>
    <t>Подготовительные занятия для будущих первоклассников:
- познаем мир;
- учимся родному языку;
- учимся думать, рассуждать, фантазировать;
- учимся рисовать;
- веселый английский;
- хочу учиться.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</si>
</sst>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\ &quot;₽&quot;"/>
    <numFmt numFmtId="178" formatCode="0.0"/>
    <numFmt numFmtId="179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Arial Cyr"/>
      <family val="0"/>
    </font>
    <font>
      <sz val="9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10" borderId="10" xfId="0" applyFont="1" applyFill="1" applyBorder="1" applyAlignment="1">
      <alignment horizontal="left" vertical="center"/>
    </xf>
    <xf numFmtId="0" fontId="3" fillId="10" borderId="10" xfId="0" applyFont="1" applyFill="1" applyBorder="1" applyAlignment="1">
      <alignment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3" fillId="1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33" borderId="0" xfId="0" applyFont="1" applyFill="1" applyAlignment="1">
      <alignment/>
    </xf>
    <xf numFmtId="0" fontId="5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wrapText="1"/>
    </xf>
    <xf numFmtId="3" fontId="46" fillId="0" borderId="10" xfId="0" applyNumberFormat="1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left" wrapText="1"/>
    </xf>
    <xf numFmtId="0" fontId="46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3" fillId="10" borderId="10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/>
    </xf>
    <xf numFmtId="0" fontId="48" fillId="33" borderId="10" xfId="0" applyFont="1" applyFill="1" applyBorder="1" applyAlignment="1">
      <alignment wrapText="1"/>
    </xf>
    <xf numFmtId="0" fontId="46" fillId="33" borderId="10" xfId="52" applyFont="1" applyFill="1" applyBorder="1" applyAlignment="1">
      <alignment wrapText="1"/>
      <protection/>
    </xf>
    <xf numFmtId="0" fontId="5" fillId="33" borderId="10" xfId="0" applyFont="1" applyFill="1" applyBorder="1" applyAlignment="1">
      <alignment horizontal="center" wrapText="1"/>
    </xf>
    <xf numFmtId="0" fontId="46" fillId="0" borderId="10" xfId="52" applyFont="1" applyFill="1" applyBorder="1" applyAlignment="1">
      <alignment wrapText="1"/>
      <protection/>
    </xf>
    <xf numFmtId="0" fontId="5" fillId="33" borderId="10" xfId="0" applyFont="1" applyFill="1" applyBorder="1" applyAlignment="1">
      <alignment horizontal="left" wrapText="1"/>
    </xf>
    <xf numFmtId="0" fontId="5" fillId="10" borderId="10" xfId="0" applyFont="1" applyFill="1" applyBorder="1" applyAlignment="1">
      <alignment horizontal="left" wrapText="1"/>
    </xf>
    <xf numFmtId="0" fontId="3" fillId="1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/>
    </xf>
    <xf numFmtId="0" fontId="7" fillId="10" borderId="10" xfId="0" applyFont="1" applyFill="1" applyBorder="1" applyAlignment="1">
      <alignment horizontal="left"/>
    </xf>
    <xf numFmtId="3" fontId="46" fillId="0" borderId="10" xfId="0" applyNumberFormat="1" applyFont="1" applyFill="1" applyBorder="1" applyAlignment="1">
      <alignment horizontal="center" vertical="center" wrapText="1"/>
    </xf>
    <xf numFmtId="3" fontId="46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3" fillId="1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3" fontId="47" fillId="0" borderId="10" xfId="0" applyNumberFormat="1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left" vertical="center"/>
    </xf>
    <xf numFmtId="0" fontId="3" fillId="16" borderId="10" xfId="0" applyFont="1" applyFill="1" applyBorder="1" applyAlignment="1">
      <alignment vertical="center" wrapText="1"/>
    </xf>
    <xf numFmtId="0" fontId="5" fillId="16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0" fontId="47" fillId="0" borderId="10" xfId="0" applyFont="1" applyBorder="1" applyAlignment="1">
      <alignment wrapText="1"/>
    </xf>
    <xf numFmtId="0" fontId="47" fillId="0" borderId="10" xfId="0" applyFont="1" applyFill="1" applyBorder="1" applyAlignment="1">
      <alignment wrapText="1"/>
    </xf>
    <xf numFmtId="0" fontId="46" fillId="0" borderId="10" xfId="0" applyFont="1" applyBorder="1" applyAlignment="1">
      <alignment wrapText="1"/>
    </xf>
    <xf numFmtId="0" fontId="47" fillId="33" borderId="10" xfId="0" applyFont="1" applyFill="1" applyBorder="1" applyAlignment="1">
      <alignment vertical="center" wrapText="1"/>
    </xf>
    <xf numFmtId="0" fontId="46" fillId="33" borderId="0" xfId="0" applyFont="1" applyFill="1" applyAlignment="1">
      <alignment wrapText="1"/>
    </xf>
    <xf numFmtId="0" fontId="3" fillId="16" borderId="10" xfId="0" applyFont="1" applyFill="1" applyBorder="1" applyAlignment="1">
      <alignment vertical="center"/>
    </xf>
    <xf numFmtId="0" fontId="3" fillId="16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justify" vertical="center"/>
    </xf>
    <xf numFmtId="0" fontId="5" fillId="33" borderId="10" xfId="0" applyFont="1" applyFill="1" applyBorder="1" applyAlignment="1">
      <alignment horizontal="justify" vertical="center" wrapText="1"/>
    </xf>
    <xf numFmtId="0" fontId="3" fillId="16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3" fontId="5" fillId="33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5" fillId="10" borderId="10" xfId="0" applyNumberFormat="1" applyFont="1" applyFill="1" applyBorder="1" applyAlignment="1">
      <alignment horizontal="center" vertical="center" wrapText="1"/>
    </xf>
    <xf numFmtId="3" fontId="3" fillId="10" borderId="10" xfId="0" applyNumberFormat="1" applyFont="1" applyFill="1" applyBorder="1" applyAlignment="1">
      <alignment horizontal="center" vertical="center"/>
    </xf>
    <xf numFmtId="3" fontId="5" fillId="10" borderId="10" xfId="0" applyNumberFormat="1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vertical="center" wrapText="1"/>
    </xf>
    <xf numFmtId="0" fontId="47" fillId="34" borderId="10" xfId="0" applyFont="1" applyFill="1" applyBorder="1" applyAlignment="1">
      <alignment horizontal="center" vertical="center" wrapText="1"/>
    </xf>
    <xf numFmtId="3" fontId="47" fillId="34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3" fontId="9" fillId="0" borderId="0" xfId="0" applyNumberFormat="1" applyFont="1" applyFill="1" applyAlignment="1">
      <alignment/>
    </xf>
    <xf numFmtId="3" fontId="9" fillId="33" borderId="0" xfId="0" applyNumberFormat="1" applyFont="1" applyFill="1" applyAlignment="1">
      <alignment/>
    </xf>
    <xf numFmtId="1" fontId="47" fillId="0" borderId="10" xfId="0" applyNumberFormat="1" applyFont="1" applyFill="1" applyBorder="1" applyAlignment="1">
      <alignment horizontal="center" vertical="center" wrapText="1"/>
    </xf>
    <xf numFmtId="178" fontId="46" fillId="0" borderId="10" xfId="0" applyNumberFormat="1" applyFont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2" fontId="46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/>
    </xf>
    <xf numFmtId="3" fontId="5" fillId="16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62"/>
  <sheetViews>
    <sheetView view="pageBreakPreview" zoomScaleSheetLayoutView="100" workbookViewId="0" topLeftCell="A48">
      <selection activeCell="B48" sqref="B48"/>
    </sheetView>
  </sheetViews>
  <sheetFormatPr defaultColWidth="9.125" defaultRowHeight="33.75" customHeight="1"/>
  <cols>
    <col min="1" max="1" width="7.875" style="1" customWidth="1"/>
    <col min="2" max="2" width="120.00390625" style="2" customWidth="1"/>
    <col min="3" max="3" width="24.50390625" style="1" customWidth="1"/>
    <col min="4" max="4" width="36.375" style="19" customWidth="1"/>
    <col min="5" max="5" width="45.375" style="1" customWidth="1"/>
    <col min="6" max="7" width="9.125" style="1" customWidth="1"/>
    <col min="8" max="9" width="14.50390625" style="100" customWidth="1"/>
    <col min="10" max="16384" width="9.125" style="1" customWidth="1"/>
  </cols>
  <sheetData>
    <row r="1" spans="3:4" ht="26.25" customHeight="1" hidden="1">
      <c r="C1" s="114" t="s">
        <v>0</v>
      </c>
      <c r="D1" s="114"/>
    </row>
    <row r="2" spans="3:4" ht="66" customHeight="1" hidden="1">
      <c r="C2" s="115"/>
      <c r="D2" s="115"/>
    </row>
    <row r="3" spans="1:4" ht="26.25" customHeight="1" hidden="1">
      <c r="A3" s="5"/>
      <c r="B3" s="6"/>
      <c r="C3" s="116"/>
      <c r="D3" s="116"/>
    </row>
    <row r="4" spans="1:4" ht="26.25" customHeight="1" hidden="1">
      <c r="A4" s="5"/>
      <c r="B4" s="6"/>
      <c r="C4" s="117"/>
      <c r="D4" s="117"/>
    </row>
    <row r="5" spans="1:4" ht="19.5" customHeight="1" hidden="1">
      <c r="A5" s="5"/>
      <c r="B5" s="6"/>
      <c r="C5" s="3"/>
      <c r="D5" s="4"/>
    </row>
    <row r="6" spans="1:4" ht="19.5" customHeight="1" hidden="1">
      <c r="A6" s="5"/>
      <c r="B6" s="6"/>
      <c r="C6" s="3"/>
      <c r="D6" s="4"/>
    </row>
    <row r="7" spans="1:5" ht="100.5" customHeight="1">
      <c r="A7" s="5"/>
      <c r="B7" s="6"/>
      <c r="C7" s="3"/>
      <c r="D7" s="98" t="s">
        <v>395</v>
      </c>
      <c r="E7" s="99"/>
    </row>
    <row r="8" spans="1:4" ht="57" customHeight="1">
      <c r="A8" s="118" t="s">
        <v>377</v>
      </c>
      <c r="B8" s="118"/>
      <c r="C8" s="118"/>
      <c r="D8" s="118"/>
    </row>
    <row r="9" spans="1:9" s="5" customFormat="1" ht="107.25" customHeight="1">
      <c r="A9" s="16" t="s">
        <v>147</v>
      </c>
      <c r="B9" s="16" t="s">
        <v>1</v>
      </c>
      <c r="C9" s="16" t="s">
        <v>2</v>
      </c>
      <c r="D9" s="16" t="s">
        <v>341</v>
      </c>
      <c r="H9" s="100"/>
      <c r="I9" s="100"/>
    </row>
    <row r="10" spans="1:4" ht="28.5" customHeight="1">
      <c r="A10" s="7" t="s">
        <v>141</v>
      </c>
      <c r="B10" s="8" t="s">
        <v>113</v>
      </c>
      <c r="C10" s="9"/>
      <c r="D10" s="52"/>
    </row>
    <row r="11" spans="1:6" ht="44.25" customHeight="1">
      <c r="A11" s="59"/>
      <c r="B11" s="36" t="s">
        <v>369</v>
      </c>
      <c r="C11" s="35" t="s">
        <v>368</v>
      </c>
      <c r="D11" s="87">
        <f>93*F11</f>
        <v>96.72</v>
      </c>
      <c r="E11" s="49" t="s">
        <v>233</v>
      </c>
      <c r="F11" s="1">
        <v>1.04</v>
      </c>
    </row>
    <row r="12" spans="1:6" ht="23.25" customHeight="1">
      <c r="A12" s="59"/>
      <c r="B12" s="36" t="s">
        <v>148</v>
      </c>
      <c r="C12" s="35" t="s">
        <v>149</v>
      </c>
      <c r="D12" s="87">
        <v>258</v>
      </c>
      <c r="E12" s="51"/>
      <c r="F12" s="1">
        <v>1.04</v>
      </c>
    </row>
    <row r="13" spans="1:6" ht="37.5" customHeight="1" hidden="1">
      <c r="A13" s="60"/>
      <c r="B13" s="10" t="s">
        <v>4</v>
      </c>
      <c r="C13" s="16" t="s">
        <v>3</v>
      </c>
      <c r="D13" s="88" t="e">
        <f>B13*C13</f>
        <v>#VALUE!</v>
      </c>
      <c r="E13" s="12" t="s">
        <v>17</v>
      </c>
      <c r="F13" s="1">
        <v>1.04</v>
      </c>
    </row>
    <row r="14" spans="1:6" ht="27" customHeight="1" hidden="1">
      <c r="A14" s="60"/>
      <c r="B14" s="10" t="s">
        <v>5</v>
      </c>
      <c r="C14" s="16" t="s">
        <v>3</v>
      </c>
      <c r="D14" s="88" t="e">
        <f>B14*C14</f>
        <v>#VALUE!</v>
      </c>
      <c r="E14" s="12" t="s">
        <v>17</v>
      </c>
      <c r="F14" s="1">
        <v>1.04</v>
      </c>
    </row>
    <row r="15" spans="1:6" ht="44.25" customHeight="1" hidden="1">
      <c r="A15" s="60"/>
      <c r="B15" s="14" t="s">
        <v>6</v>
      </c>
      <c r="C15" s="11" t="s">
        <v>3</v>
      </c>
      <c r="D15" s="88" t="e">
        <f>B15*C15</f>
        <v>#VALUE!</v>
      </c>
      <c r="E15" s="12" t="s">
        <v>18</v>
      </c>
      <c r="F15" s="1">
        <v>1.04</v>
      </c>
    </row>
    <row r="16" spans="1:6" ht="38.25" customHeight="1" hidden="1">
      <c r="A16" s="60"/>
      <c r="B16" s="14" t="s">
        <v>7</v>
      </c>
      <c r="C16" s="11" t="s">
        <v>3</v>
      </c>
      <c r="D16" s="88" t="e">
        <f>B16*C16</f>
        <v>#VALUE!</v>
      </c>
      <c r="E16" s="12" t="s">
        <v>18</v>
      </c>
      <c r="F16" s="1">
        <v>1.04</v>
      </c>
    </row>
    <row r="17" spans="1:6" ht="63.75" customHeight="1">
      <c r="A17" s="60"/>
      <c r="B17" s="14" t="s">
        <v>114</v>
      </c>
      <c r="C17" s="11" t="s">
        <v>21</v>
      </c>
      <c r="D17" s="89" t="s">
        <v>115</v>
      </c>
      <c r="E17" s="12"/>
      <c r="F17" s="1">
        <v>1.04</v>
      </c>
    </row>
    <row r="18" spans="1:6" ht="32.25" customHeight="1" hidden="1">
      <c r="A18" s="60"/>
      <c r="B18" s="15" t="s">
        <v>28</v>
      </c>
      <c r="C18" s="16" t="s">
        <v>29</v>
      </c>
      <c r="D18" s="88" t="e">
        <f aca="true" t="shared" si="0" ref="D18:D41">B18*C18</f>
        <v>#VALUE!</v>
      </c>
      <c r="E18" s="12" t="s">
        <v>18</v>
      </c>
      <c r="F18" s="1">
        <v>1.04</v>
      </c>
    </row>
    <row r="19" spans="1:6" ht="44.25" customHeight="1" hidden="1">
      <c r="A19" s="60"/>
      <c r="B19" s="15" t="s">
        <v>30</v>
      </c>
      <c r="C19" s="16" t="s">
        <v>29</v>
      </c>
      <c r="D19" s="88" t="e">
        <f t="shared" si="0"/>
        <v>#VALUE!</v>
      </c>
      <c r="E19" s="12" t="s">
        <v>18</v>
      </c>
      <c r="F19" s="1">
        <v>1.04</v>
      </c>
    </row>
    <row r="20" spans="1:6" ht="40.5" customHeight="1" hidden="1">
      <c r="A20" s="60"/>
      <c r="B20" s="15" t="s">
        <v>31</v>
      </c>
      <c r="C20" s="16" t="s">
        <v>29</v>
      </c>
      <c r="D20" s="88" t="e">
        <f t="shared" si="0"/>
        <v>#VALUE!</v>
      </c>
      <c r="E20" s="12" t="s">
        <v>18</v>
      </c>
      <c r="F20" s="1">
        <v>1.04</v>
      </c>
    </row>
    <row r="21" spans="1:6" ht="38.25" customHeight="1" hidden="1">
      <c r="A21" s="60"/>
      <c r="B21" s="15" t="s">
        <v>32</v>
      </c>
      <c r="C21" s="16" t="s">
        <v>29</v>
      </c>
      <c r="D21" s="88" t="e">
        <f t="shared" si="0"/>
        <v>#VALUE!</v>
      </c>
      <c r="E21" s="12" t="s">
        <v>18</v>
      </c>
      <c r="F21" s="1">
        <v>1.04</v>
      </c>
    </row>
    <row r="22" spans="1:6" ht="39" customHeight="1" hidden="1">
      <c r="A22" s="60"/>
      <c r="B22" s="15" t="s">
        <v>33</v>
      </c>
      <c r="C22" s="16" t="s">
        <v>29</v>
      </c>
      <c r="D22" s="88" t="e">
        <f t="shared" si="0"/>
        <v>#VALUE!</v>
      </c>
      <c r="E22" s="12" t="s">
        <v>18</v>
      </c>
      <c r="F22" s="1">
        <v>1.04</v>
      </c>
    </row>
    <row r="23" spans="1:6" ht="33" customHeight="1" hidden="1">
      <c r="A23" s="60"/>
      <c r="B23" s="15" t="s">
        <v>34</v>
      </c>
      <c r="C23" s="16" t="s">
        <v>29</v>
      </c>
      <c r="D23" s="88" t="e">
        <f t="shared" si="0"/>
        <v>#VALUE!</v>
      </c>
      <c r="E23" s="12" t="s">
        <v>18</v>
      </c>
      <c r="F23" s="1">
        <v>1.04</v>
      </c>
    </row>
    <row r="24" spans="1:6" ht="46.5" customHeight="1" hidden="1">
      <c r="A24" s="60"/>
      <c r="B24" s="15" t="s">
        <v>35</v>
      </c>
      <c r="C24" s="16" t="s">
        <v>29</v>
      </c>
      <c r="D24" s="88" t="e">
        <f t="shared" si="0"/>
        <v>#VALUE!</v>
      </c>
      <c r="E24" s="12" t="s">
        <v>18</v>
      </c>
      <c r="F24" s="1">
        <v>1.04</v>
      </c>
    </row>
    <row r="25" spans="1:6" ht="46.5" customHeight="1" hidden="1">
      <c r="A25" s="60"/>
      <c r="B25" s="15" t="s">
        <v>36</v>
      </c>
      <c r="C25" s="16" t="s">
        <v>29</v>
      </c>
      <c r="D25" s="88" t="e">
        <f t="shared" si="0"/>
        <v>#VALUE!</v>
      </c>
      <c r="E25" s="12" t="s">
        <v>18</v>
      </c>
      <c r="F25" s="1">
        <v>1.04</v>
      </c>
    </row>
    <row r="26" spans="1:6" ht="46.5" customHeight="1" hidden="1">
      <c r="A26" s="60"/>
      <c r="B26" s="15" t="s">
        <v>37</v>
      </c>
      <c r="C26" s="16" t="s">
        <v>29</v>
      </c>
      <c r="D26" s="88" t="e">
        <f t="shared" si="0"/>
        <v>#VALUE!</v>
      </c>
      <c r="E26" s="12" t="s">
        <v>18</v>
      </c>
      <c r="F26" s="1">
        <v>1.04</v>
      </c>
    </row>
    <row r="27" spans="1:6" ht="46.5" customHeight="1" hidden="1">
      <c r="A27" s="60"/>
      <c r="B27" s="15" t="s">
        <v>38</v>
      </c>
      <c r="C27" s="16" t="s">
        <v>29</v>
      </c>
      <c r="D27" s="88" t="e">
        <f t="shared" si="0"/>
        <v>#VALUE!</v>
      </c>
      <c r="E27" s="12" t="s">
        <v>18</v>
      </c>
      <c r="F27" s="1">
        <v>1.04</v>
      </c>
    </row>
    <row r="28" spans="1:6" ht="46.5" customHeight="1" hidden="1">
      <c r="A28" s="60"/>
      <c r="B28" s="15" t="s">
        <v>39</v>
      </c>
      <c r="C28" s="16" t="s">
        <v>29</v>
      </c>
      <c r="D28" s="88" t="e">
        <f t="shared" si="0"/>
        <v>#VALUE!</v>
      </c>
      <c r="E28" s="12" t="s">
        <v>18</v>
      </c>
      <c r="F28" s="1">
        <v>1.04</v>
      </c>
    </row>
    <row r="29" spans="1:6" ht="46.5" customHeight="1" hidden="1">
      <c r="A29" s="60"/>
      <c r="B29" s="15" t="s">
        <v>40</v>
      </c>
      <c r="C29" s="16" t="s">
        <v>41</v>
      </c>
      <c r="D29" s="88" t="e">
        <f t="shared" si="0"/>
        <v>#VALUE!</v>
      </c>
      <c r="E29" s="12" t="s">
        <v>18</v>
      </c>
      <c r="F29" s="1">
        <v>1.04</v>
      </c>
    </row>
    <row r="30" spans="1:6" ht="46.5" customHeight="1" hidden="1">
      <c r="A30" s="60"/>
      <c r="B30" s="15" t="s">
        <v>42</v>
      </c>
      <c r="C30" s="16" t="s">
        <v>29</v>
      </c>
      <c r="D30" s="88" t="e">
        <f t="shared" si="0"/>
        <v>#VALUE!</v>
      </c>
      <c r="E30" s="12" t="s">
        <v>18</v>
      </c>
      <c r="F30" s="1">
        <v>1.04</v>
      </c>
    </row>
    <row r="31" spans="1:6" ht="46.5" customHeight="1" hidden="1">
      <c r="A31" s="60"/>
      <c r="B31" s="15" t="s">
        <v>43</v>
      </c>
      <c r="C31" s="16" t="s">
        <v>44</v>
      </c>
      <c r="D31" s="88" t="e">
        <f t="shared" si="0"/>
        <v>#VALUE!</v>
      </c>
      <c r="E31" s="12" t="s">
        <v>18</v>
      </c>
      <c r="F31" s="1">
        <v>1.04</v>
      </c>
    </row>
    <row r="32" spans="1:6" ht="46.5" customHeight="1" hidden="1">
      <c r="A32" s="60"/>
      <c r="B32" s="15" t="s">
        <v>45</v>
      </c>
      <c r="C32" s="16" t="s">
        <v>41</v>
      </c>
      <c r="D32" s="88" t="e">
        <f t="shared" si="0"/>
        <v>#VALUE!</v>
      </c>
      <c r="E32" s="12" t="s">
        <v>18</v>
      </c>
      <c r="F32" s="1">
        <v>1.04</v>
      </c>
    </row>
    <row r="33" spans="1:6" ht="46.5" customHeight="1" hidden="1">
      <c r="A33" s="60"/>
      <c r="B33" s="15" t="s">
        <v>46</v>
      </c>
      <c r="C33" s="16" t="s">
        <v>41</v>
      </c>
      <c r="D33" s="88" t="e">
        <f t="shared" si="0"/>
        <v>#VALUE!</v>
      </c>
      <c r="E33" s="12" t="s">
        <v>18</v>
      </c>
      <c r="F33" s="1">
        <v>1.04</v>
      </c>
    </row>
    <row r="34" spans="1:6" ht="46.5" customHeight="1" hidden="1">
      <c r="A34" s="60"/>
      <c r="B34" s="15" t="s">
        <v>47</v>
      </c>
      <c r="C34" s="16" t="s">
        <v>41</v>
      </c>
      <c r="D34" s="88" t="e">
        <f t="shared" si="0"/>
        <v>#VALUE!</v>
      </c>
      <c r="E34" s="12" t="s">
        <v>18</v>
      </c>
      <c r="F34" s="1">
        <v>1.04</v>
      </c>
    </row>
    <row r="35" spans="1:6" ht="46.5" customHeight="1" hidden="1">
      <c r="A35" s="60"/>
      <c r="B35" s="15" t="s">
        <v>48</v>
      </c>
      <c r="C35" s="16" t="s">
        <v>41</v>
      </c>
      <c r="D35" s="88" t="e">
        <f t="shared" si="0"/>
        <v>#VALUE!</v>
      </c>
      <c r="E35" s="12" t="s">
        <v>18</v>
      </c>
      <c r="F35" s="1">
        <v>1.04</v>
      </c>
    </row>
    <row r="36" spans="1:6" ht="46.5" customHeight="1" hidden="1">
      <c r="A36" s="60"/>
      <c r="B36" s="15" t="s">
        <v>49</v>
      </c>
      <c r="C36" s="16" t="s">
        <v>50</v>
      </c>
      <c r="D36" s="88" t="e">
        <f t="shared" si="0"/>
        <v>#VALUE!</v>
      </c>
      <c r="E36" s="12" t="s">
        <v>18</v>
      </c>
      <c r="F36" s="1">
        <v>1.04</v>
      </c>
    </row>
    <row r="37" spans="1:6" ht="46.5" customHeight="1" hidden="1">
      <c r="A37" s="60"/>
      <c r="B37" s="15" t="s">
        <v>51</v>
      </c>
      <c r="C37" s="16" t="s">
        <v>50</v>
      </c>
      <c r="D37" s="88" t="e">
        <f t="shared" si="0"/>
        <v>#VALUE!</v>
      </c>
      <c r="E37" s="12" t="s">
        <v>18</v>
      </c>
      <c r="F37" s="1">
        <v>1.04</v>
      </c>
    </row>
    <row r="38" spans="1:6" ht="46.5" customHeight="1" hidden="1">
      <c r="A38" s="60"/>
      <c r="B38" s="15" t="s">
        <v>52</v>
      </c>
      <c r="C38" s="16" t="s">
        <v>50</v>
      </c>
      <c r="D38" s="88" t="e">
        <f t="shared" si="0"/>
        <v>#VALUE!</v>
      </c>
      <c r="E38" s="12" t="s">
        <v>18</v>
      </c>
      <c r="F38" s="1">
        <v>1.04</v>
      </c>
    </row>
    <row r="39" spans="1:6" ht="46.5" customHeight="1" hidden="1">
      <c r="A39" s="60"/>
      <c r="B39" s="15" t="s">
        <v>53</v>
      </c>
      <c r="C39" s="16" t="s">
        <v>50</v>
      </c>
      <c r="D39" s="88" t="e">
        <f t="shared" si="0"/>
        <v>#VALUE!</v>
      </c>
      <c r="E39" s="12" t="s">
        <v>18</v>
      </c>
      <c r="F39" s="1">
        <v>1.04</v>
      </c>
    </row>
    <row r="40" spans="1:6" ht="46.5" customHeight="1" hidden="1">
      <c r="A40" s="60"/>
      <c r="B40" s="15" t="s">
        <v>54</v>
      </c>
      <c r="C40" s="16" t="s">
        <v>50</v>
      </c>
      <c r="D40" s="88" t="e">
        <f t="shared" si="0"/>
        <v>#VALUE!</v>
      </c>
      <c r="E40" s="12" t="s">
        <v>18</v>
      </c>
      <c r="F40" s="1">
        <v>1.04</v>
      </c>
    </row>
    <row r="41" spans="1:6" ht="46.5" customHeight="1" hidden="1">
      <c r="A41" s="60"/>
      <c r="B41" s="15" t="s">
        <v>55</v>
      </c>
      <c r="C41" s="16" t="s">
        <v>50</v>
      </c>
      <c r="D41" s="88" t="e">
        <f t="shared" si="0"/>
        <v>#VALUE!</v>
      </c>
      <c r="E41" s="12" t="s">
        <v>18</v>
      </c>
      <c r="F41" s="1">
        <v>1.04</v>
      </c>
    </row>
    <row r="42" spans="1:6" ht="22.5">
      <c r="A42" s="61" t="s">
        <v>142</v>
      </c>
      <c r="B42" s="8" t="s">
        <v>8</v>
      </c>
      <c r="C42" s="18"/>
      <c r="D42" s="90"/>
      <c r="E42" s="53"/>
      <c r="F42" s="1">
        <v>1.04</v>
      </c>
    </row>
    <row r="43" spans="1:6" ht="33.75" customHeight="1">
      <c r="A43" s="65" t="s">
        <v>337</v>
      </c>
      <c r="B43" s="65" t="s">
        <v>286</v>
      </c>
      <c r="C43" s="65"/>
      <c r="D43" s="65"/>
      <c r="F43" s="1">
        <v>1.04</v>
      </c>
    </row>
    <row r="44" spans="1:4" ht="141.75" customHeight="1">
      <c r="A44" s="110"/>
      <c r="B44" s="36" t="s">
        <v>402</v>
      </c>
      <c r="C44" s="35" t="s">
        <v>241</v>
      </c>
      <c r="D44" s="43">
        <v>33</v>
      </c>
    </row>
    <row r="45" spans="1:7" ht="33.75" customHeight="1">
      <c r="A45" s="40"/>
      <c r="B45" s="15" t="s">
        <v>287</v>
      </c>
      <c r="C45" s="23" t="s">
        <v>241</v>
      </c>
      <c r="D45" s="43">
        <f>75*G45</f>
        <v>78</v>
      </c>
      <c r="F45" s="1" t="s">
        <v>353</v>
      </c>
      <c r="G45" s="1">
        <v>1.04</v>
      </c>
    </row>
    <row r="46" spans="1:6" ht="33.75" customHeight="1">
      <c r="A46" s="40"/>
      <c r="B46" s="15" t="s">
        <v>288</v>
      </c>
      <c r="C46" s="23" t="s">
        <v>241</v>
      </c>
      <c r="D46" s="43">
        <f>150</f>
        <v>150</v>
      </c>
      <c r="F46" s="1" t="s">
        <v>354</v>
      </c>
    </row>
    <row r="47" spans="1:6" ht="33.75" customHeight="1">
      <c r="A47" s="40"/>
      <c r="B47" s="15" t="s">
        <v>289</v>
      </c>
      <c r="C47" s="23" t="s">
        <v>241</v>
      </c>
      <c r="D47" s="43">
        <f>150</f>
        <v>150</v>
      </c>
      <c r="F47" s="1" t="s">
        <v>354</v>
      </c>
    </row>
    <row r="48" spans="1:7" ht="33.75" customHeight="1">
      <c r="A48" s="40"/>
      <c r="B48" s="15" t="s">
        <v>290</v>
      </c>
      <c r="C48" s="23" t="s">
        <v>241</v>
      </c>
      <c r="D48" s="43">
        <f>150*G48</f>
        <v>156</v>
      </c>
      <c r="F48" s="1" t="s">
        <v>353</v>
      </c>
      <c r="G48" s="1">
        <v>1.04</v>
      </c>
    </row>
    <row r="49" spans="1:7" ht="33.75" customHeight="1">
      <c r="A49" s="40"/>
      <c r="B49" s="15" t="s">
        <v>291</v>
      </c>
      <c r="C49" s="23" t="s">
        <v>241</v>
      </c>
      <c r="D49" s="43">
        <f>150*G49</f>
        <v>156</v>
      </c>
      <c r="F49" s="1" t="s">
        <v>353</v>
      </c>
      <c r="G49" s="1">
        <v>1.04</v>
      </c>
    </row>
    <row r="50" spans="1:7" ht="33.75" customHeight="1">
      <c r="A50" s="40"/>
      <c r="B50" s="15" t="s">
        <v>292</v>
      </c>
      <c r="C50" s="23" t="s">
        <v>241</v>
      </c>
      <c r="D50" s="43">
        <f>100*G50</f>
        <v>104</v>
      </c>
      <c r="F50" s="1" t="s">
        <v>353</v>
      </c>
      <c r="G50" s="1">
        <v>1.04</v>
      </c>
    </row>
    <row r="51" spans="1:7" ht="33.75" customHeight="1">
      <c r="A51" s="40"/>
      <c r="B51" s="111" t="s">
        <v>293</v>
      </c>
      <c r="C51" s="112" t="s">
        <v>241</v>
      </c>
      <c r="D51" s="113">
        <v>82</v>
      </c>
      <c r="F51" s="1">
        <v>9</v>
      </c>
      <c r="G51" s="1">
        <v>1.04</v>
      </c>
    </row>
    <row r="52" spans="1:6" ht="33.75" customHeight="1">
      <c r="A52" s="40"/>
      <c r="B52" s="111" t="s">
        <v>397</v>
      </c>
      <c r="C52" s="112" t="s">
        <v>241</v>
      </c>
      <c r="D52" s="113">
        <f>158</f>
        <v>158</v>
      </c>
      <c r="F52" s="1" t="s">
        <v>352</v>
      </c>
    </row>
    <row r="53" spans="1:4" ht="33.75" customHeight="1">
      <c r="A53" s="40"/>
      <c r="B53" s="111" t="s">
        <v>396</v>
      </c>
      <c r="C53" s="112"/>
      <c r="D53" s="113"/>
    </row>
    <row r="54" spans="1:7" ht="33.75" customHeight="1">
      <c r="A54" s="40"/>
      <c r="B54" s="111" t="s">
        <v>401</v>
      </c>
      <c r="C54" s="112" t="s">
        <v>241</v>
      </c>
      <c r="D54" s="113">
        <v>82</v>
      </c>
      <c r="F54" s="1">
        <v>9</v>
      </c>
      <c r="G54" s="1">
        <v>1.04</v>
      </c>
    </row>
    <row r="55" spans="1:7" ht="33.75" customHeight="1">
      <c r="A55" s="40"/>
      <c r="B55" s="111" t="s">
        <v>399</v>
      </c>
      <c r="C55" s="112" t="s">
        <v>241</v>
      </c>
      <c r="D55" s="113">
        <v>82</v>
      </c>
      <c r="F55" s="1">
        <v>9</v>
      </c>
      <c r="G55" s="1">
        <v>1.04</v>
      </c>
    </row>
    <row r="56" spans="1:7" ht="33.75" customHeight="1">
      <c r="A56" s="40"/>
      <c r="B56" s="111" t="s">
        <v>400</v>
      </c>
      <c r="C56" s="112" t="s">
        <v>241</v>
      </c>
      <c r="D56" s="113">
        <v>82</v>
      </c>
      <c r="F56" s="1">
        <v>9</v>
      </c>
      <c r="G56" s="1">
        <v>1.04</v>
      </c>
    </row>
    <row r="57" spans="1:7" ht="33.75" customHeight="1">
      <c r="A57" s="40"/>
      <c r="B57" s="15" t="s">
        <v>350</v>
      </c>
      <c r="C57" s="23" t="s">
        <v>241</v>
      </c>
      <c r="D57" s="108">
        <f>80*G57</f>
        <v>83.2</v>
      </c>
      <c r="F57" s="1" t="s">
        <v>346</v>
      </c>
      <c r="G57" s="1">
        <v>1.04</v>
      </c>
    </row>
    <row r="58" spans="1:7" ht="33.75" customHeight="1">
      <c r="A58" s="40"/>
      <c r="B58" s="15" t="s">
        <v>351</v>
      </c>
      <c r="C58" s="23" t="s">
        <v>241</v>
      </c>
      <c r="D58" s="108">
        <f>180*G58</f>
        <v>187.20000000000002</v>
      </c>
      <c r="F58" s="1" t="s">
        <v>346</v>
      </c>
      <c r="G58" s="1">
        <v>1.04</v>
      </c>
    </row>
    <row r="59" spans="1:6" ht="33.75" customHeight="1">
      <c r="A59" s="40"/>
      <c r="B59" s="15" t="s">
        <v>348</v>
      </c>
      <c r="C59" s="23" t="s">
        <v>241</v>
      </c>
      <c r="D59" s="87">
        <f>150</f>
        <v>150</v>
      </c>
      <c r="F59" s="1" t="s">
        <v>346</v>
      </c>
    </row>
    <row r="60" spans="1:7" ht="33.75" customHeight="1">
      <c r="A60" s="40"/>
      <c r="B60" s="15" t="s">
        <v>349</v>
      </c>
      <c r="C60" s="23" t="s">
        <v>241</v>
      </c>
      <c r="D60" s="87">
        <f>100*G60</f>
        <v>104</v>
      </c>
      <c r="F60" s="1" t="s">
        <v>346</v>
      </c>
      <c r="G60" s="1">
        <v>1.04</v>
      </c>
    </row>
    <row r="61" spans="1:6" ht="33.75" customHeight="1">
      <c r="A61" s="40"/>
      <c r="B61" s="15" t="s">
        <v>297</v>
      </c>
      <c r="C61" s="23" t="s">
        <v>241</v>
      </c>
      <c r="D61" s="87">
        <f>1500</f>
        <v>1500</v>
      </c>
      <c r="F61" s="1" t="s">
        <v>346</v>
      </c>
    </row>
    <row r="62" spans="1:7" ht="33.75" customHeight="1">
      <c r="A62" s="40"/>
      <c r="B62" s="15" t="s">
        <v>298</v>
      </c>
      <c r="C62" s="23" t="s">
        <v>241</v>
      </c>
      <c r="D62" s="87">
        <f>1000</f>
        <v>1000</v>
      </c>
      <c r="F62" s="1" t="s">
        <v>346</v>
      </c>
      <c r="G62" s="1">
        <v>1.04</v>
      </c>
    </row>
  </sheetData>
  <sheetProtection/>
  <autoFilter ref="A9:E9"/>
  <mergeCells count="5">
    <mergeCell ref="C1:D1"/>
    <mergeCell ref="C2:D2"/>
    <mergeCell ref="C3:D3"/>
    <mergeCell ref="C4:D4"/>
    <mergeCell ref="A8:D8"/>
  </mergeCells>
  <printOptions/>
  <pageMargins left="0.8267716535433072" right="0.2362204724409449" top="0.4724409448818898" bottom="0.6692913385826772" header="0.31496062992125984" footer="0.31496062992125984"/>
  <pageSetup fitToHeight="0" horizontalDpi="600" verticalDpi="600" orientation="portrait" paperSize="9" scale="49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323"/>
  <sheetViews>
    <sheetView view="pageBreakPreview" zoomScale="70" zoomScaleSheetLayoutView="70" workbookViewId="0" topLeftCell="A8">
      <selection activeCell="B264" sqref="B264"/>
    </sheetView>
  </sheetViews>
  <sheetFormatPr defaultColWidth="9.125" defaultRowHeight="33.75" customHeight="1"/>
  <cols>
    <col min="1" max="1" width="7.875" style="1" customWidth="1"/>
    <col min="2" max="2" width="120.00390625" style="2" customWidth="1"/>
    <col min="3" max="3" width="24.50390625" style="1" customWidth="1"/>
    <col min="4" max="4" width="36.375" style="19" customWidth="1"/>
    <col min="5" max="5" width="45.375" style="1" hidden="1" customWidth="1"/>
    <col min="6" max="7" width="0" style="1" hidden="1" customWidth="1"/>
    <col min="8" max="9" width="14.50390625" style="100" customWidth="1"/>
    <col min="10" max="16384" width="9.125" style="1" customWidth="1"/>
  </cols>
  <sheetData>
    <row r="1" spans="3:4" ht="26.25" customHeight="1" hidden="1">
      <c r="C1" s="114" t="s">
        <v>0</v>
      </c>
      <c r="D1" s="114"/>
    </row>
    <row r="2" spans="3:4" ht="66" customHeight="1" hidden="1">
      <c r="C2" s="115"/>
      <c r="D2" s="115"/>
    </row>
    <row r="3" spans="1:4" ht="26.25" customHeight="1" hidden="1">
      <c r="A3" s="5"/>
      <c r="B3" s="6"/>
      <c r="C3" s="116"/>
      <c r="D3" s="116"/>
    </row>
    <row r="4" spans="1:4" ht="26.25" customHeight="1" hidden="1">
      <c r="A4" s="5"/>
      <c r="B4" s="6"/>
      <c r="C4" s="117"/>
      <c r="D4" s="117"/>
    </row>
    <row r="5" spans="1:4" ht="19.5" customHeight="1" hidden="1">
      <c r="A5" s="5"/>
      <c r="B5" s="6"/>
      <c r="C5" s="3"/>
      <c r="D5" s="4"/>
    </row>
    <row r="6" spans="1:4" ht="19.5" customHeight="1" hidden="1">
      <c r="A6" s="5"/>
      <c r="B6" s="6"/>
      <c r="C6" s="3"/>
      <c r="D6" s="4"/>
    </row>
    <row r="7" spans="1:5" ht="100.5" customHeight="1" hidden="1">
      <c r="A7" s="5"/>
      <c r="B7" s="6"/>
      <c r="C7" s="3"/>
      <c r="D7" s="98" t="s">
        <v>381</v>
      </c>
      <c r="E7" s="99"/>
    </row>
    <row r="8" spans="1:4" ht="57" customHeight="1">
      <c r="A8" s="118" t="s">
        <v>394</v>
      </c>
      <c r="B8" s="118"/>
      <c r="C8" s="118"/>
      <c r="D8" s="118"/>
    </row>
    <row r="9" spans="1:9" s="5" customFormat="1" ht="107.25" customHeight="1">
      <c r="A9" s="16" t="s">
        <v>147</v>
      </c>
      <c r="B9" s="16" t="s">
        <v>1</v>
      </c>
      <c r="C9" s="16" t="s">
        <v>2</v>
      </c>
      <c r="D9" s="16" t="s">
        <v>341</v>
      </c>
      <c r="H9" s="100"/>
      <c r="I9" s="100"/>
    </row>
    <row r="10" spans="1:4" ht="28.5" customHeight="1" hidden="1">
      <c r="A10" s="7" t="s">
        <v>141</v>
      </c>
      <c r="B10" s="8" t="s">
        <v>113</v>
      </c>
      <c r="C10" s="9"/>
      <c r="D10" s="52"/>
    </row>
    <row r="11" spans="1:6" ht="44.25" customHeight="1" hidden="1">
      <c r="A11" s="59"/>
      <c r="B11" s="36" t="s">
        <v>369</v>
      </c>
      <c r="C11" s="35" t="s">
        <v>368</v>
      </c>
      <c r="D11" s="87">
        <f>93*F11</f>
        <v>96.72</v>
      </c>
      <c r="E11" s="49" t="s">
        <v>233</v>
      </c>
      <c r="F11" s="1">
        <v>1.04</v>
      </c>
    </row>
    <row r="12" spans="1:6" ht="23.25" customHeight="1" hidden="1">
      <c r="A12" s="59"/>
      <c r="B12" s="36" t="s">
        <v>148</v>
      </c>
      <c r="C12" s="35" t="s">
        <v>149</v>
      </c>
      <c r="D12" s="87">
        <v>258</v>
      </c>
      <c r="E12" s="51"/>
      <c r="F12" s="1">
        <v>1.04</v>
      </c>
    </row>
    <row r="13" spans="1:6" ht="37.5" customHeight="1" hidden="1">
      <c r="A13" s="60"/>
      <c r="B13" s="10" t="s">
        <v>4</v>
      </c>
      <c r="C13" s="16" t="s">
        <v>3</v>
      </c>
      <c r="D13" s="88" t="e">
        <f>B13*C13</f>
        <v>#VALUE!</v>
      </c>
      <c r="E13" s="12" t="s">
        <v>17</v>
      </c>
      <c r="F13" s="1">
        <v>1.04</v>
      </c>
    </row>
    <row r="14" spans="1:6" ht="27" customHeight="1" hidden="1">
      <c r="A14" s="60"/>
      <c r="B14" s="10" t="s">
        <v>5</v>
      </c>
      <c r="C14" s="16" t="s">
        <v>3</v>
      </c>
      <c r="D14" s="88" t="e">
        <f>B14*C14</f>
        <v>#VALUE!</v>
      </c>
      <c r="E14" s="12" t="s">
        <v>17</v>
      </c>
      <c r="F14" s="1">
        <v>1.04</v>
      </c>
    </row>
    <row r="15" spans="1:6" ht="44.25" customHeight="1" hidden="1">
      <c r="A15" s="60"/>
      <c r="B15" s="14" t="s">
        <v>6</v>
      </c>
      <c r="C15" s="11" t="s">
        <v>3</v>
      </c>
      <c r="D15" s="88" t="e">
        <f>B15*C15</f>
        <v>#VALUE!</v>
      </c>
      <c r="E15" s="12" t="s">
        <v>18</v>
      </c>
      <c r="F15" s="1">
        <v>1.04</v>
      </c>
    </row>
    <row r="16" spans="1:6" ht="38.25" customHeight="1" hidden="1">
      <c r="A16" s="60"/>
      <c r="B16" s="14" t="s">
        <v>7</v>
      </c>
      <c r="C16" s="11" t="s">
        <v>3</v>
      </c>
      <c r="D16" s="88" t="e">
        <f>B16*C16</f>
        <v>#VALUE!</v>
      </c>
      <c r="E16" s="12" t="s">
        <v>18</v>
      </c>
      <c r="F16" s="1">
        <v>1.04</v>
      </c>
    </row>
    <row r="17" spans="1:6" ht="63.75" customHeight="1" hidden="1">
      <c r="A17" s="60"/>
      <c r="B17" s="14" t="s">
        <v>114</v>
      </c>
      <c r="C17" s="11" t="s">
        <v>21</v>
      </c>
      <c r="D17" s="89" t="s">
        <v>115</v>
      </c>
      <c r="E17" s="12"/>
      <c r="F17" s="1">
        <v>1.04</v>
      </c>
    </row>
    <row r="18" spans="1:6" ht="32.25" customHeight="1" hidden="1">
      <c r="A18" s="60"/>
      <c r="B18" s="15" t="s">
        <v>28</v>
      </c>
      <c r="C18" s="16" t="s">
        <v>29</v>
      </c>
      <c r="D18" s="88" t="e">
        <f aca="true" t="shared" si="0" ref="D18:D41">B18*C18</f>
        <v>#VALUE!</v>
      </c>
      <c r="E18" s="12" t="s">
        <v>18</v>
      </c>
      <c r="F18" s="1">
        <v>1.04</v>
      </c>
    </row>
    <row r="19" spans="1:6" ht="44.25" customHeight="1" hidden="1">
      <c r="A19" s="60"/>
      <c r="B19" s="15" t="s">
        <v>30</v>
      </c>
      <c r="C19" s="16" t="s">
        <v>29</v>
      </c>
      <c r="D19" s="88" t="e">
        <f t="shared" si="0"/>
        <v>#VALUE!</v>
      </c>
      <c r="E19" s="12" t="s">
        <v>18</v>
      </c>
      <c r="F19" s="1">
        <v>1.04</v>
      </c>
    </row>
    <row r="20" spans="1:6" ht="40.5" customHeight="1" hidden="1">
      <c r="A20" s="60"/>
      <c r="B20" s="15" t="s">
        <v>31</v>
      </c>
      <c r="C20" s="16" t="s">
        <v>29</v>
      </c>
      <c r="D20" s="88" t="e">
        <f t="shared" si="0"/>
        <v>#VALUE!</v>
      </c>
      <c r="E20" s="12" t="s">
        <v>18</v>
      </c>
      <c r="F20" s="1">
        <v>1.04</v>
      </c>
    </row>
    <row r="21" spans="1:6" ht="38.25" customHeight="1" hidden="1">
      <c r="A21" s="60"/>
      <c r="B21" s="15" t="s">
        <v>32</v>
      </c>
      <c r="C21" s="16" t="s">
        <v>29</v>
      </c>
      <c r="D21" s="88" t="e">
        <f t="shared" si="0"/>
        <v>#VALUE!</v>
      </c>
      <c r="E21" s="12" t="s">
        <v>18</v>
      </c>
      <c r="F21" s="1">
        <v>1.04</v>
      </c>
    </row>
    <row r="22" spans="1:6" ht="39" customHeight="1" hidden="1">
      <c r="A22" s="60"/>
      <c r="B22" s="15" t="s">
        <v>33</v>
      </c>
      <c r="C22" s="16" t="s">
        <v>29</v>
      </c>
      <c r="D22" s="88" t="e">
        <f t="shared" si="0"/>
        <v>#VALUE!</v>
      </c>
      <c r="E22" s="12" t="s">
        <v>18</v>
      </c>
      <c r="F22" s="1">
        <v>1.04</v>
      </c>
    </row>
    <row r="23" spans="1:6" ht="33" customHeight="1" hidden="1">
      <c r="A23" s="60"/>
      <c r="B23" s="15" t="s">
        <v>34</v>
      </c>
      <c r="C23" s="16" t="s">
        <v>29</v>
      </c>
      <c r="D23" s="88" t="e">
        <f t="shared" si="0"/>
        <v>#VALUE!</v>
      </c>
      <c r="E23" s="12" t="s">
        <v>18</v>
      </c>
      <c r="F23" s="1">
        <v>1.04</v>
      </c>
    </row>
    <row r="24" spans="1:6" ht="46.5" customHeight="1" hidden="1">
      <c r="A24" s="60"/>
      <c r="B24" s="15" t="s">
        <v>35</v>
      </c>
      <c r="C24" s="16" t="s">
        <v>29</v>
      </c>
      <c r="D24" s="88" t="e">
        <f t="shared" si="0"/>
        <v>#VALUE!</v>
      </c>
      <c r="E24" s="12" t="s">
        <v>18</v>
      </c>
      <c r="F24" s="1">
        <v>1.04</v>
      </c>
    </row>
    <row r="25" spans="1:6" ht="46.5" customHeight="1" hidden="1">
      <c r="A25" s="60"/>
      <c r="B25" s="15" t="s">
        <v>36</v>
      </c>
      <c r="C25" s="16" t="s">
        <v>29</v>
      </c>
      <c r="D25" s="88" t="e">
        <f t="shared" si="0"/>
        <v>#VALUE!</v>
      </c>
      <c r="E25" s="12" t="s">
        <v>18</v>
      </c>
      <c r="F25" s="1">
        <v>1.04</v>
      </c>
    </row>
    <row r="26" spans="1:6" ht="46.5" customHeight="1" hidden="1">
      <c r="A26" s="60"/>
      <c r="B26" s="15" t="s">
        <v>37</v>
      </c>
      <c r="C26" s="16" t="s">
        <v>29</v>
      </c>
      <c r="D26" s="88" t="e">
        <f t="shared" si="0"/>
        <v>#VALUE!</v>
      </c>
      <c r="E26" s="12" t="s">
        <v>18</v>
      </c>
      <c r="F26" s="1">
        <v>1.04</v>
      </c>
    </row>
    <row r="27" spans="1:6" ht="46.5" customHeight="1" hidden="1">
      <c r="A27" s="60"/>
      <c r="B27" s="15" t="s">
        <v>38</v>
      </c>
      <c r="C27" s="16" t="s">
        <v>29</v>
      </c>
      <c r="D27" s="88" t="e">
        <f t="shared" si="0"/>
        <v>#VALUE!</v>
      </c>
      <c r="E27" s="12" t="s">
        <v>18</v>
      </c>
      <c r="F27" s="1">
        <v>1.04</v>
      </c>
    </row>
    <row r="28" spans="1:6" ht="46.5" customHeight="1" hidden="1">
      <c r="A28" s="60"/>
      <c r="B28" s="15" t="s">
        <v>39</v>
      </c>
      <c r="C28" s="16" t="s">
        <v>29</v>
      </c>
      <c r="D28" s="88" t="e">
        <f t="shared" si="0"/>
        <v>#VALUE!</v>
      </c>
      <c r="E28" s="12" t="s">
        <v>18</v>
      </c>
      <c r="F28" s="1">
        <v>1.04</v>
      </c>
    </row>
    <row r="29" spans="1:6" ht="46.5" customHeight="1" hidden="1">
      <c r="A29" s="60"/>
      <c r="B29" s="15" t="s">
        <v>40</v>
      </c>
      <c r="C29" s="16" t="s">
        <v>41</v>
      </c>
      <c r="D29" s="88" t="e">
        <f t="shared" si="0"/>
        <v>#VALUE!</v>
      </c>
      <c r="E29" s="12" t="s">
        <v>18</v>
      </c>
      <c r="F29" s="1">
        <v>1.04</v>
      </c>
    </row>
    <row r="30" spans="1:6" ht="46.5" customHeight="1" hidden="1">
      <c r="A30" s="60"/>
      <c r="B30" s="15" t="s">
        <v>42</v>
      </c>
      <c r="C30" s="16" t="s">
        <v>29</v>
      </c>
      <c r="D30" s="88" t="e">
        <f t="shared" si="0"/>
        <v>#VALUE!</v>
      </c>
      <c r="E30" s="12" t="s">
        <v>18</v>
      </c>
      <c r="F30" s="1">
        <v>1.04</v>
      </c>
    </row>
    <row r="31" spans="1:6" ht="46.5" customHeight="1" hidden="1">
      <c r="A31" s="60"/>
      <c r="B31" s="15" t="s">
        <v>43</v>
      </c>
      <c r="C31" s="16" t="s">
        <v>44</v>
      </c>
      <c r="D31" s="88" t="e">
        <f t="shared" si="0"/>
        <v>#VALUE!</v>
      </c>
      <c r="E31" s="12" t="s">
        <v>18</v>
      </c>
      <c r="F31" s="1">
        <v>1.04</v>
      </c>
    </row>
    <row r="32" spans="1:6" ht="46.5" customHeight="1" hidden="1">
      <c r="A32" s="60"/>
      <c r="B32" s="15" t="s">
        <v>45</v>
      </c>
      <c r="C32" s="16" t="s">
        <v>41</v>
      </c>
      <c r="D32" s="88" t="e">
        <f t="shared" si="0"/>
        <v>#VALUE!</v>
      </c>
      <c r="E32" s="12" t="s">
        <v>18</v>
      </c>
      <c r="F32" s="1">
        <v>1.04</v>
      </c>
    </row>
    <row r="33" spans="1:6" ht="46.5" customHeight="1" hidden="1">
      <c r="A33" s="60"/>
      <c r="B33" s="15" t="s">
        <v>46</v>
      </c>
      <c r="C33" s="16" t="s">
        <v>41</v>
      </c>
      <c r="D33" s="88" t="e">
        <f t="shared" si="0"/>
        <v>#VALUE!</v>
      </c>
      <c r="E33" s="12" t="s">
        <v>18</v>
      </c>
      <c r="F33" s="1">
        <v>1.04</v>
      </c>
    </row>
    <row r="34" spans="1:6" ht="46.5" customHeight="1" hidden="1">
      <c r="A34" s="60"/>
      <c r="B34" s="15" t="s">
        <v>47</v>
      </c>
      <c r="C34" s="16" t="s">
        <v>41</v>
      </c>
      <c r="D34" s="88" t="e">
        <f t="shared" si="0"/>
        <v>#VALUE!</v>
      </c>
      <c r="E34" s="12" t="s">
        <v>18</v>
      </c>
      <c r="F34" s="1">
        <v>1.04</v>
      </c>
    </row>
    <row r="35" spans="1:6" ht="46.5" customHeight="1" hidden="1">
      <c r="A35" s="60"/>
      <c r="B35" s="15" t="s">
        <v>48</v>
      </c>
      <c r="C35" s="16" t="s">
        <v>41</v>
      </c>
      <c r="D35" s="88" t="e">
        <f t="shared" si="0"/>
        <v>#VALUE!</v>
      </c>
      <c r="E35" s="12" t="s">
        <v>18</v>
      </c>
      <c r="F35" s="1">
        <v>1.04</v>
      </c>
    </row>
    <row r="36" spans="1:6" ht="46.5" customHeight="1" hidden="1">
      <c r="A36" s="60"/>
      <c r="B36" s="15" t="s">
        <v>49</v>
      </c>
      <c r="C36" s="16" t="s">
        <v>50</v>
      </c>
      <c r="D36" s="88" t="e">
        <f t="shared" si="0"/>
        <v>#VALUE!</v>
      </c>
      <c r="E36" s="12" t="s">
        <v>18</v>
      </c>
      <c r="F36" s="1">
        <v>1.04</v>
      </c>
    </row>
    <row r="37" spans="1:6" ht="46.5" customHeight="1" hidden="1">
      <c r="A37" s="60"/>
      <c r="B37" s="15" t="s">
        <v>51</v>
      </c>
      <c r="C37" s="16" t="s">
        <v>50</v>
      </c>
      <c r="D37" s="88" t="e">
        <f t="shared" si="0"/>
        <v>#VALUE!</v>
      </c>
      <c r="E37" s="12" t="s">
        <v>18</v>
      </c>
      <c r="F37" s="1">
        <v>1.04</v>
      </c>
    </row>
    <row r="38" spans="1:6" ht="46.5" customHeight="1" hidden="1">
      <c r="A38" s="60"/>
      <c r="B38" s="15" t="s">
        <v>52</v>
      </c>
      <c r="C38" s="16" t="s">
        <v>50</v>
      </c>
      <c r="D38" s="88" t="e">
        <f t="shared" si="0"/>
        <v>#VALUE!</v>
      </c>
      <c r="E38" s="12" t="s">
        <v>18</v>
      </c>
      <c r="F38" s="1">
        <v>1.04</v>
      </c>
    </row>
    <row r="39" spans="1:6" ht="46.5" customHeight="1" hidden="1">
      <c r="A39" s="60"/>
      <c r="B39" s="15" t="s">
        <v>53</v>
      </c>
      <c r="C39" s="16" t="s">
        <v>50</v>
      </c>
      <c r="D39" s="88" t="e">
        <f t="shared" si="0"/>
        <v>#VALUE!</v>
      </c>
      <c r="E39" s="12" t="s">
        <v>18</v>
      </c>
      <c r="F39" s="1">
        <v>1.04</v>
      </c>
    </row>
    <row r="40" spans="1:6" ht="46.5" customHeight="1" hidden="1">
      <c r="A40" s="60"/>
      <c r="B40" s="15" t="s">
        <v>54</v>
      </c>
      <c r="C40" s="16" t="s">
        <v>50</v>
      </c>
      <c r="D40" s="88" t="e">
        <f t="shared" si="0"/>
        <v>#VALUE!</v>
      </c>
      <c r="E40" s="12" t="s">
        <v>18</v>
      </c>
      <c r="F40" s="1">
        <v>1.04</v>
      </c>
    </row>
    <row r="41" spans="1:6" ht="46.5" customHeight="1" hidden="1">
      <c r="A41" s="60"/>
      <c r="B41" s="15" t="s">
        <v>55</v>
      </c>
      <c r="C41" s="16" t="s">
        <v>50</v>
      </c>
      <c r="D41" s="88" t="e">
        <f t="shared" si="0"/>
        <v>#VALUE!</v>
      </c>
      <c r="E41" s="12" t="s">
        <v>18</v>
      </c>
      <c r="F41" s="1">
        <v>1.04</v>
      </c>
    </row>
    <row r="42" spans="1:6" ht="22.5" hidden="1">
      <c r="A42" s="61" t="s">
        <v>142</v>
      </c>
      <c r="B42" s="8" t="s">
        <v>8</v>
      </c>
      <c r="C42" s="18"/>
      <c r="D42" s="90"/>
      <c r="E42" s="53"/>
      <c r="F42" s="1">
        <v>1.04</v>
      </c>
    </row>
    <row r="43" spans="1:9" s="13" customFormat="1" ht="80.25" customHeight="1" hidden="1">
      <c r="A43" s="62"/>
      <c r="B43" s="10" t="s">
        <v>9</v>
      </c>
      <c r="C43" s="11" t="s">
        <v>10</v>
      </c>
      <c r="D43" s="88">
        <f>98*F43</f>
        <v>101.92</v>
      </c>
      <c r="E43" s="14" t="s">
        <v>11</v>
      </c>
      <c r="F43" s="1">
        <v>1.04</v>
      </c>
      <c r="H43" s="101"/>
      <c r="I43" s="101"/>
    </row>
    <row r="44" spans="1:9" s="13" customFormat="1" ht="45" customHeight="1" hidden="1">
      <c r="A44" s="63"/>
      <c r="B44" s="10" t="s">
        <v>13</v>
      </c>
      <c r="C44" s="11" t="s">
        <v>12</v>
      </c>
      <c r="D44" s="88">
        <f>21*F44</f>
        <v>21.84</v>
      </c>
      <c r="E44" s="14" t="s">
        <v>11</v>
      </c>
      <c r="F44" s="1">
        <v>1.04</v>
      </c>
      <c r="H44" s="101"/>
      <c r="I44" s="101"/>
    </row>
    <row r="45" spans="1:9" s="13" customFormat="1" ht="30.75" customHeight="1" hidden="1">
      <c r="A45" s="63"/>
      <c r="B45" s="22" t="s">
        <v>72</v>
      </c>
      <c r="C45" s="23" t="s">
        <v>57</v>
      </c>
      <c r="D45" s="88">
        <f>470*F45</f>
        <v>488.8</v>
      </c>
      <c r="E45" s="14" t="s">
        <v>11</v>
      </c>
      <c r="F45" s="1">
        <v>1.04</v>
      </c>
      <c r="H45" s="101"/>
      <c r="I45" s="101"/>
    </row>
    <row r="46" spans="1:9" s="13" customFormat="1" ht="36.75" customHeight="1" hidden="1">
      <c r="A46" s="63"/>
      <c r="B46" s="10" t="s">
        <v>73</v>
      </c>
      <c r="C46" s="11" t="s">
        <v>12</v>
      </c>
      <c r="D46" s="88">
        <f>48*F46</f>
        <v>49.92</v>
      </c>
      <c r="E46" s="14" t="s">
        <v>11</v>
      </c>
      <c r="F46" s="1">
        <v>1.04</v>
      </c>
      <c r="H46" s="101"/>
      <c r="I46" s="101"/>
    </row>
    <row r="47" spans="1:6" ht="44.25" customHeight="1" hidden="1">
      <c r="A47" s="61" t="s">
        <v>143</v>
      </c>
      <c r="B47" s="8" t="s">
        <v>14</v>
      </c>
      <c r="C47" s="7"/>
      <c r="D47" s="90"/>
      <c r="E47" s="53"/>
      <c r="F47" s="1">
        <v>1.04</v>
      </c>
    </row>
    <row r="48" spans="1:6" ht="274.5" customHeight="1" hidden="1">
      <c r="A48" s="122"/>
      <c r="B48" s="24" t="s">
        <v>388</v>
      </c>
      <c r="C48" s="130" t="s">
        <v>15</v>
      </c>
      <c r="D48" s="128">
        <f>9064*F48</f>
        <v>9426.56</v>
      </c>
      <c r="E48" s="119" t="s">
        <v>19</v>
      </c>
      <c r="F48" s="1">
        <v>1.04</v>
      </c>
    </row>
    <row r="49" spans="1:6" ht="409.5" customHeight="1" hidden="1">
      <c r="A49" s="122"/>
      <c r="B49" s="120" t="s">
        <v>387</v>
      </c>
      <c r="C49" s="130"/>
      <c r="D49" s="131"/>
      <c r="E49" s="119"/>
      <c r="F49" s="1">
        <v>1.04</v>
      </c>
    </row>
    <row r="50" spans="1:6" ht="23.25" customHeight="1" hidden="1">
      <c r="A50" s="122"/>
      <c r="B50" s="121"/>
      <c r="C50" s="130"/>
      <c r="D50" s="131"/>
      <c r="E50" s="119"/>
      <c r="F50" s="1">
        <v>1.04</v>
      </c>
    </row>
    <row r="51" spans="1:6" ht="403.5" customHeight="1" hidden="1">
      <c r="A51" s="122"/>
      <c r="B51" s="120" t="s">
        <v>389</v>
      </c>
      <c r="C51" s="130"/>
      <c r="D51" s="131"/>
      <c r="E51" s="119"/>
      <c r="F51" s="1">
        <v>1.04</v>
      </c>
    </row>
    <row r="52" spans="1:6" ht="95.25" customHeight="1" hidden="1">
      <c r="A52" s="122"/>
      <c r="B52" s="121"/>
      <c r="C52" s="130"/>
      <c r="D52" s="129"/>
      <c r="E52" s="119"/>
      <c r="F52" s="1">
        <v>1.04</v>
      </c>
    </row>
    <row r="53" spans="1:6" ht="199.5" customHeight="1" hidden="1">
      <c r="A53" s="40"/>
      <c r="B53" s="15" t="s">
        <v>87</v>
      </c>
      <c r="C53" s="27" t="s">
        <v>15</v>
      </c>
      <c r="D53" s="87">
        <f>9064*F53</f>
        <v>9426.56</v>
      </c>
      <c r="E53" s="26" t="s">
        <v>19</v>
      </c>
      <c r="F53" s="1">
        <v>1.04</v>
      </c>
    </row>
    <row r="54" spans="1:6" ht="112.5" customHeight="1" hidden="1">
      <c r="A54" s="40"/>
      <c r="B54" s="15" t="s">
        <v>88</v>
      </c>
      <c r="C54" s="17" t="s">
        <v>15</v>
      </c>
      <c r="D54" s="87">
        <f>F54*11794</f>
        <v>12265.76</v>
      </c>
      <c r="E54" s="14" t="s">
        <v>19</v>
      </c>
      <c r="F54" s="1">
        <v>1.04</v>
      </c>
    </row>
    <row r="55" spans="1:6" ht="55.5" customHeight="1" hidden="1">
      <c r="A55" s="40"/>
      <c r="B55" s="54" t="s">
        <v>89</v>
      </c>
      <c r="C55" s="17" t="s">
        <v>15</v>
      </c>
      <c r="D55" s="87">
        <f>16377*F55</f>
        <v>17032.08</v>
      </c>
      <c r="E55" s="14" t="s">
        <v>19</v>
      </c>
      <c r="F55" s="1">
        <v>1.04</v>
      </c>
    </row>
    <row r="56" spans="1:6" ht="56.25" customHeight="1" hidden="1">
      <c r="A56" s="40"/>
      <c r="B56" s="15" t="s">
        <v>90</v>
      </c>
      <c r="C56" s="17" t="s">
        <v>15</v>
      </c>
      <c r="D56" s="87">
        <f>18437*F56</f>
        <v>19174.48</v>
      </c>
      <c r="E56" s="14" t="s">
        <v>19</v>
      </c>
      <c r="F56" s="1">
        <v>1.04</v>
      </c>
    </row>
    <row r="57" spans="1:6" ht="351" customHeight="1" hidden="1">
      <c r="A57" s="40"/>
      <c r="B57" s="15" t="s">
        <v>91</v>
      </c>
      <c r="C57" s="24" t="s">
        <v>15</v>
      </c>
      <c r="D57" s="87">
        <f>15759*F57</f>
        <v>16389.36</v>
      </c>
      <c r="E57" s="25" t="s">
        <v>19</v>
      </c>
      <c r="F57" s="1">
        <v>1.04</v>
      </c>
    </row>
    <row r="58" spans="1:6" ht="69.75" customHeight="1" hidden="1">
      <c r="A58" s="40"/>
      <c r="B58" s="15" t="s">
        <v>92</v>
      </c>
      <c r="C58" s="17" t="s">
        <v>15</v>
      </c>
      <c r="D58" s="87">
        <f>13493*F58</f>
        <v>14032.720000000001</v>
      </c>
      <c r="E58" s="14" t="s">
        <v>19</v>
      </c>
      <c r="F58" s="1">
        <v>1.04</v>
      </c>
    </row>
    <row r="59" spans="1:6" ht="56.25" customHeight="1" hidden="1">
      <c r="A59" s="40"/>
      <c r="B59" s="15" t="s">
        <v>93</v>
      </c>
      <c r="C59" s="17" t="s">
        <v>15</v>
      </c>
      <c r="D59" s="87">
        <f>15553*F59</f>
        <v>16175.12</v>
      </c>
      <c r="E59" s="14" t="s">
        <v>19</v>
      </c>
      <c r="F59" s="1">
        <v>1.04</v>
      </c>
    </row>
    <row r="60" spans="1:6" ht="90" customHeight="1" hidden="1">
      <c r="A60" s="40"/>
      <c r="B60" s="55" t="s">
        <v>94</v>
      </c>
      <c r="C60" s="17" t="s">
        <v>15</v>
      </c>
      <c r="D60" s="87">
        <f>21136*F60</f>
        <v>21981.440000000002</v>
      </c>
      <c r="E60" s="14" t="s">
        <v>19</v>
      </c>
      <c r="F60" s="1">
        <v>1.04</v>
      </c>
    </row>
    <row r="61" spans="1:6" ht="56.25" customHeight="1" hidden="1">
      <c r="A61" s="40"/>
      <c r="B61" s="15" t="s">
        <v>95</v>
      </c>
      <c r="C61" s="17" t="s">
        <v>15</v>
      </c>
      <c r="D61" s="87">
        <f>15759*F61</f>
        <v>16389.36</v>
      </c>
      <c r="E61" s="14" t="s">
        <v>19</v>
      </c>
      <c r="F61" s="1">
        <v>1.04</v>
      </c>
    </row>
    <row r="62" spans="1:6" ht="56.25" customHeight="1" hidden="1">
      <c r="A62" s="40"/>
      <c r="B62" s="15" t="s">
        <v>96</v>
      </c>
      <c r="C62" s="17" t="s">
        <v>15</v>
      </c>
      <c r="D62" s="87">
        <f>13287*F62</f>
        <v>13818.48</v>
      </c>
      <c r="E62" s="14" t="s">
        <v>19</v>
      </c>
      <c r="F62" s="1">
        <v>1.04</v>
      </c>
    </row>
    <row r="63" spans="1:6" ht="178.5" customHeight="1" hidden="1">
      <c r="A63" s="40"/>
      <c r="B63" s="15" t="s">
        <v>97</v>
      </c>
      <c r="C63" s="17" t="s">
        <v>15</v>
      </c>
      <c r="D63" s="87">
        <f>15759*F63</f>
        <v>16389.36</v>
      </c>
      <c r="E63" s="14" t="s">
        <v>19</v>
      </c>
      <c r="F63" s="1">
        <v>1.04</v>
      </c>
    </row>
    <row r="64" spans="1:6" ht="84.75" customHeight="1" hidden="1">
      <c r="A64" s="40"/>
      <c r="B64" s="15" t="s">
        <v>98</v>
      </c>
      <c r="C64" s="17" t="s">
        <v>15</v>
      </c>
      <c r="D64" s="87">
        <f>21888*F64</f>
        <v>22763.52</v>
      </c>
      <c r="E64" s="14" t="s">
        <v>19</v>
      </c>
      <c r="F64" s="1">
        <v>1.04</v>
      </c>
    </row>
    <row r="65" spans="1:6" ht="56.25" customHeight="1" hidden="1">
      <c r="A65" s="40"/>
      <c r="B65" s="15" t="s">
        <v>99</v>
      </c>
      <c r="C65" s="17" t="s">
        <v>15</v>
      </c>
      <c r="D65" s="87">
        <f>19055*F65</f>
        <v>19817.2</v>
      </c>
      <c r="E65" s="14" t="s">
        <v>19</v>
      </c>
      <c r="F65" s="1">
        <v>1.04</v>
      </c>
    </row>
    <row r="66" spans="1:6" ht="56.25" customHeight="1" hidden="1">
      <c r="A66" s="40"/>
      <c r="B66" s="15" t="s">
        <v>100</v>
      </c>
      <c r="C66" s="17" t="s">
        <v>15</v>
      </c>
      <c r="D66" s="87">
        <f>19055*F66</f>
        <v>19817.2</v>
      </c>
      <c r="E66" s="14" t="s">
        <v>19</v>
      </c>
      <c r="F66" s="1">
        <v>1.04</v>
      </c>
    </row>
    <row r="67" spans="1:6" ht="136.5" customHeight="1" hidden="1">
      <c r="A67" s="40"/>
      <c r="B67" s="15" t="s">
        <v>101</v>
      </c>
      <c r="C67" s="17" t="s">
        <v>15</v>
      </c>
      <c r="D67" s="87">
        <f>24514*F67</f>
        <v>25494.56</v>
      </c>
      <c r="E67" s="14" t="s">
        <v>19</v>
      </c>
      <c r="F67" s="1">
        <v>1.04</v>
      </c>
    </row>
    <row r="68" spans="1:6" ht="159.75" customHeight="1" hidden="1">
      <c r="A68" s="40"/>
      <c r="B68" s="15" t="s">
        <v>102</v>
      </c>
      <c r="C68" s="17" t="s">
        <v>15</v>
      </c>
      <c r="D68" s="87">
        <f>20446*F68</f>
        <v>21263.84</v>
      </c>
      <c r="E68" s="14" t="s">
        <v>19</v>
      </c>
      <c r="F68" s="1">
        <v>1.04</v>
      </c>
    </row>
    <row r="69" spans="1:6" ht="122.25" customHeight="1" hidden="1">
      <c r="A69" s="40"/>
      <c r="B69" s="15" t="s">
        <v>103</v>
      </c>
      <c r="C69" s="17" t="s">
        <v>15</v>
      </c>
      <c r="D69" s="87">
        <f>29437*F69</f>
        <v>30614.48</v>
      </c>
      <c r="E69" s="14" t="s">
        <v>19</v>
      </c>
      <c r="F69" s="1">
        <v>1.04</v>
      </c>
    </row>
    <row r="70" spans="1:6" ht="56.25" customHeight="1" hidden="1">
      <c r="A70" s="40"/>
      <c r="B70" s="15" t="s">
        <v>104</v>
      </c>
      <c r="C70" s="17" t="s">
        <v>15</v>
      </c>
      <c r="D70" s="87">
        <f>29437*F70</f>
        <v>30614.48</v>
      </c>
      <c r="E70" s="14" t="s">
        <v>19</v>
      </c>
      <c r="F70" s="1">
        <v>1.04</v>
      </c>
    </row>
    <row r="71" spans="1:6" ht="60" customHeight="1" hidden="1">
      <c r="A71" s="40"/>
      <c r="B71" s="15" t="s">
        <v>105</v>
      </c>
      <c r="C71" s="17" t="s">
        <v>15</v>
      </c>
      <c r="D71" s="87">
        <f>25544*F71</f>
        <v>26565.760000000002</v>
      </c>
      <c r="E71" s="14" t="s">
        <v>19</v>
      </c>
      <c r="F71" s="1">
        <v>1.04</v>
      </c>
    </row>
    <row r="72" spans="1:6" ht="54" hidden="1">
      <c r="A72" s="40"/>
      <c r="B72" s="15" t="s">
        <v>234</v>
      </c>
      <c r="C72" s="17" t="s">
        <v>15</v>
      </c>
      <c r="D72" s="87">
        <f>26450*F72</f>
        <v>27508</v>
      </c>
      <c r="E72" s="14" t="s">
        <v>19</v>
      </c>
      <c r="F72" s="1">
        <v>1.04</v>
      </c>
    </row>
    <row r="73" spans="1:6" ht="54" hidden="1">
      <c r="A73" s="40"/>
      <c r="B73" s="15" t="s">
        <v>106</v>
      </c>
      <c r="C73" s="17" t="s">
        <v>15</v>
      </c>
      <c r="D73" s="87">
        <f>30179*F73</f>
        <v>31386.16</v>
      </c>
      <c r="E73" s="14" t="s">
        <v>19</v>
      </c>
      <c r="F73" s="1">
        <v>1.04</v>
      </c>
    </row>
    <row r="74" spans="1:6" ht="54" hidden="1">
      <c r="A74" s="40"/>
      <c r="B74" s="15" t="s">
        <v>107</v>
      </c>
      <c r="C74" s="17" t="s">
        <v>15</v>
      </c>
      <c r="D74" s="87">
        <f>28418*F74</f>
        <v>29554.72</v>
      </c>
      <c r="E74" s="14" t="s">
        <v>19</v>
      </c>
      <c r="F74" s="1">
        <v>1.04</v>
      </c>
    </row>
    <row r="75" spans="1:6" ht="54" hidden="1">
      <c r="A75" s="40"/>
      <c r="B75" s="15" t="s">
        <v>108</v>
      </c>
      <c r="C75" s="17" t="s">
        <v>15</v>
      </c>
      <c r="D75" s="87">
        <f>33218*F75</f>
        <v>34546.72</v>
      </c>
      <c r="E75" s="14" t="s">
        <v>19</v>
      </c>
      <c r="F75" s="1">
        <v>1.04</v>
      </c>
    </row>
    <row r="76" spans="1:6" ht="54" hidden="1">
      <c r="A76" s="40"/>
      <c r="B76" s="15" t="s">
        <v>109</v>
      </c>
      <c r="C76" s="17" t="s">
        <v>15</v>
      </c>
      <c r="D76" s="87">
        <f>49069*F76</f>
        <v>51031.76</v>
      </c>
      <c r="E76" s="14" t="s">
        <v>19</v>
      </c>
      <c r="F76" s="1">
        <v>1.04</v>
      </c>
    </row>
    <row r="77" spans="1:6" ht="54" hidden="1">
      <c r="A77" s="40"/>
      <c r="B77" s="15" t="s">
        <v>110</v>
      </c>
      <c r="C77" s="17" t="s">
        <v>15</v>
      </c>
      <c r="D77" s="87">
        <f>37750*F77</f>
        <v>39260</v>
      </c>
      <c r="E77" s="14" t="s">
        <v>19</v>
      </c>
      <c r="F77" s="1">
        <v>1.04</v>
      </c>
    </row>
    <row r="78" spans="1:6" ht="54" hidden="1">
      <c r="A78" s="40"/>
      <c r="B78" s="15" t="s">
        <v>111</v>
      </c>
      <c r="C78" s="17" t="s">
        <v>15</v>
      </c>
      <c r="D78" s="87">
        <f>39253*F78</f>
        <v>40823.12</v>
      </c>
      <c r="E78" s="14" t="s">
        <v>19</v>
      </c>
      <c r="F78" s="1">
        <v>1.04</v>
      </c>
    </row>
    <row r="79" spans="1:6" ht="56.25" customHeight="1" hidden="1">
      <c r="A79" s="40"/>
      <c r="B79" s="15" t="s">
        <v>112</v>
      </c>
      <c r="C79" s="17" t="s">
        <v>15</v>
      </c>
      <c r="D79" s="87">
        <f>52839*F79</f>
        <v>54952.560000000005</v>
      </c>
      <c r="E79" s="14" t="s">
        <v>19</v>
      </c>
      <c r="F79" s="1">
        <v>1.04</v>
      </c>
    </row>
    <row r="80" spans="1:6" ht="54" hidden="1">
      <c r="A80" s="40"/>
      <c r="B80" s="15" t="s">
        <v>75</v>
      </c>
      <c r="C80" s="37"/>
      <c r="D80" s="87">
        <f>5150*F80</f>
        <v>5356</v>
      </c>
      <c r="E80" s="14" t="s">
        <v>19</v>
      </c>
      <c r="F80" s="1">
        <v>1.04</v>
      </c>
    </row>
    <row r="81" spans="1:6" ht="54" hidden="1">
      <c r="A81" s="40"/>
      <c r="B81" s="15" t="s">
        <v>76</v>
      </c>
      <c r="C81" s="17" t="s">
        <v>15</v>
      </c>
      <c r="D81" s="87">
        <f>18643*F81</f>
        <v>19388.72</v>
      </c>
      <c r="E81" s="14" t="s">
        <v>19</v>
      </c>
      <c r="F81" s="1">
        <v>1.04</v>
      </c>
    </row>
    <row r="82" spans="1:6" ht="60.75" customHeight="1" hidden="1">
      <c r="A82" s="40"/>
      <c r="B82" s="15" t="s">
        <v>77</v>
      </c>
      <c r="C82" s="17" t="s">
        <v>15</v>
      </c>
      <c r="D82" s="87">
        <f>20188*F82</f>
        <v>20995.52</v>
      </c>
      <c r="E82" s="14" t="s">
        <v>19</v>
      </c>
      <c r="F82" s="1">
        <v>1.04</v>
      </c>
    </row>
    <row r="83" spans="1:6" ht="54" hidden="1">
      <c r="A83" s="40"/>
      <c r="B83" s="15" t="s">
        <v>78</v>
      </c>
      <c r="C83" s="17" t="s">
        <v>15</v>
      </c>
      <c r="D83" s="87">
        <f>24360*F83</f>
        <v>25334.4</v>
      </c>
      <c r="E83" s="14" t="s">
        <v>19</v>
      </c>
      <c r="F83" s="1">
        <v>1.04</v>
      </c>
    </row>
    <row r="84" spans="1:6" ht="54" hidden="1">
      <c r="A84" s="40"/>
      <c r="B84" s="15" t="s">
        <v>79</v>
      </c>
      <c r="C84" s="17" t="s">
        <v>15</v>
      </c>
      <c r="D84" s="87">
        <f>13236*F84</f>
        <v>13765.44</v>
      </c>
      <c r="E84" s="14" t="s">
        <v>19</v>
      </c>
      <c r="F84" s="1">
        <v>1.04</v>
      </c>
    </row>
    <row r="85" spans="1:6" ht="54" hidden="1">
      <c r="A85" s="40"/>
      <c r="B85" s="15" t="s">
        <v>235</v>
      </c>
      <c r="C85" s="17" t="s">
        <v>15</v>
      </c>
      <c r="D85" s="87">
        <f>23124*F85</f>
        <v>24048.96</v>
      </c>
      <c r="E85" s="14" t="s">
        <v>19</v>
      </c>
      <c r="F85" s="1">
        <v>1.04</v>
      </c>
    </row>
    <row r="86" spans="1:6" ht="54" hidden="1">
      <c r="A86" s="40"/>
      <c r="B86" s="15" t="s">
        <v>80</v>
      </c>
      <c r="C86" s="17" t="s">
        <v>15</v>
      </c>
      <c r="D86" s="87">
        <f>23124*F86</f>
        <v>24048.96</v>
      </c>
      <c r="E86" s="14" t="s">
        <v>19</v>
      </c>
      <c r="F86" s="1">
        <v>1.04</v>
      </c>
    </row>
    <row r="87" spans="1:6" ht="54" hidden="1">
      <c r="A87" s="40"/>
      <c r="B87" s="15" t="s">
        <v>85</v>
      </c>
      <c r="C87" s="17" t="s">
        <v>15</v>
      </c>
      <c r="D87" s="87">
        <f>11691*F87</f>
        <v>12158.640000000001</v>
      </c>
      <c r="E87" s="14" t="s">
        <v>19</v>
      </c>
      <c r="F87" s="1">
        <v>1.04</v>
      </c>
    </row>
    <row r="88" spans="1:6" ht="54" hidden="1">
      <c r="A88" s="40"/>
      <c r="B88" s="15" t="s">
        <v>81</v>
      </c>
      <c r="C88" s="17" t="s">
        <v>15</v>
      </c>
      <c r="D88" s="87">
        <f>27759*F88</f>
        <v>28869.36</v>
      </c>
      <c r="E88" s="14" t="s">
        <v>19</v>
      </c>
      <c r="F88" s="1">
        <v>1.04</v>
      </c>
    </row>
    <row r="89" spans="1:6" ht="54" hidden="1">
      <c r="A89" s="40"/>
      <c r="B89" s="15" t="s">
        <v>82</v>
      </c>
      <c r="C89" s="17" t="s">
        <v>15</v>
      </c>
      <c r="D89" s="87">
        <f>15708*F89</f>
        <v>16336.32</v>
      </c>
      <c r="E89" s="14" t="s">
        <v>19</v>
      </c>
      <c r="F89" s="1">
        <v>1.04</v>
      </c>
    </row>
    <row r="90" spans="1:6" ht="54" hidden="1">
      <c r="A90" s="40"/>
      <c r="B90" s="15" t="s">
        <v>83</v>
      </c>
      <c r="C90" s="17" t="s">
        <v>15</v>
      </c>
      <c r="D90" s="87">
        <f>24772*F90</f>
        <v>25762.88</v>
      </c>
      <c r="E90" s="14" t="s">
        <v>19</v>
      </c>
      <c r="F90" s="1">
        <v>1.04</v>
      </c>
    </row>
    <row r="91" spans="1:6" ht="61.5" customHeight="1" hidden="1">
      <c r="A91" s="40"/>
      <c r="B91" s="15" t="s">
        <v>84</v>
      </c>
      <c r="C91" s="17" t="s">
        <v>15</v>
      </c>
      <c r="D91" s="87">
        <f>44187*F91</f>
        <v>45954.48</v>
      </c>
      <c r="E91" s="14" t="s">
        <v>19</v>
      </c>
      <c r="F91" s="1">
        <v>1.04</v>
      </c>
    </row>
    <row r="92" spans="1:9" ht="36" hidden="1">
      <c r="A92" s="40"/>
      <c r="B92" s="15" t="s">
        <v>60</v>
      </c>
      <c r="C92" s="16" t="s">
        <v>23</v>
      </c>
      <c r="D92" s="87" t="s">
        <v>378</v>
      </c>
      <c r="E92" s="21" t="s">
        <v>22</v>
      </c>
      <c r="F92" s="1">
        <v>1.04</v>
      </c>
      <c r="H92" s="100">
        <v>43</v>
      </c>
      <c r="I92" s="100">
        <f>H92*8</f>
        <v>344</v>
      </c>
    </row>
    <row r="93" spans="1:6" ht="36" hidden="1">
      <c r="A93" s="40"/>
      <c r="B93" s="15" t="s">
        <v>61</v>
      </c>
      <c r="C93" s="16" t="s">
        <v>23</v>
      </c>
      <c r="D93" s="87" t="s">
        <v>378</v>
      </c>
      <c r="E93" s="21" t="s">
        <v>22</v>
      </c>
      <c r="F93" s="1">
        <v>1.04</v>
      </c>
    </row>
    <row r="94" spans="1:6" ht="36" hidden="1">
      <c r="A94" s="40"/>
      <c r="B94" s="15" t="s">
        <v>62</v>
      </c>
      <c r="C94" s="16" t="s">
        <v>23</v>
      </c>
      <c r="D94" s="87" t="s">
        <v>378</v>
      </c>
      <c r="E94" s="21" t="s">
        <v>22</v>
      </c>
      <c r="F94" s="1">
        <v>1.04</v>
      </c>
    </row>
    <row r="95" spans="1:6" ht="36" hidden="1">
      <c r="A95" s="40"/>
      <c r="B95" s="15" t="s">
        <v>63</v>
      </c>
      <c r="C95" s="16" t="s">
        <v>23</v>
      </c>
      <c r="D95" s="87" t="s">
        <v>378</v>
      </c>
      <c r="E95" s="21" t="s">
        <v>22</v>
      </c>
      <c r="F95" s="1">
        <v>1.04</v>
      </c>
    </row>
    <row r="96" spans="1:9" ht="36" hidden="1">
      <c r="A96" s="40"/>
      <c r="B96" s="15" t="s">
        <v>64</v>
      </c>
      <c r="C96" s="16" t="s">
        <v>23</v>
      </c>
      <c r="D96" s="87" t="s">
        <v>379</v>
      </c>
      <c r="E96" s="21" t="s">
        <v>22</v>
      </c>
      <c r="F96" s="1">
        <v>1.04</v>
      </c>
      <c r="H96" s="100">
        <f>43</f>
        <v>43</v>
      </c>
      <c r="I96" s="100">
        <f>H96*4</f>
        <v>172</v>
      </c>
    </row>
    <row r="97" spans="1:6" ht="36" hidden="1">
      <c r="A97" s="40"/>
      <c r="B97" s="15" t="s">
        <v>65</v>
      </c>
      <c r="C97" s="16" t="s">
        <v>23</v>
      </c>
      <c r="D97" s="87" t="s">
        <v>378</v>
      </c>
      <c r="E97" s="21" t="s">
        <v>22</v>
      </c>
      <c r="F97" s="1">
        <v>1.04</v>
      </c>
    </row>
    <row r="98" spans="1:6" ht="36" hidden="1">
      <c r="A98" s="40"/>
      <c r="B98" s="15" t="s">
        <v>66</v>
      </c>
      <c r="C98" s="16" t="s">
        <v>23</v>
      </c>
      <c r="D98" s="87" t="s">
        <v>378</v>
      </c>
      <c r="E98" s="21" t="s">
        <v>22</v>
      </c>
      <c r="F98" s="1">
        <v>1.04</v>
      </c>
    </row>
    <row r="99" spans="1:6" ht="36" hidden="1">
      <c r="A99" s="40"/>
      <c r="B99" s="15" t="s">
        <v>67</v>
      </c>
      <c r="C99" s="16" t="s">
        <v>23</v>
      </c>
      <c r="D99" s="87" t="s">
        <v>379</v>
      </c>
      <c r="E99" s="21" t="s">
        <v>22</v>
      </c>
      <c r="F99" s="1">
        <v>1.04</v>
      </c>
    </row>
    <row r="100" spans="1:9" ht="36" hidden="1">
      <c r="A100" s="40"/>
      <c r="B100" s="15" t="s">
        <v>68</v>
      </c>
      <c r="C100" s="16" t="s">
        <v>23</v>
      </c>
      <c r="D100" s="87" t="s">
        <v>383</v>
      </c>
      <c r="E100" s="21" t="s">
        <v>22</v>
      </c>
      <c r="F100" s="1">
        <v>1.04</v>
      </c>
      <c r="H100" s="100">
        <v>71</v>
      </c>
      <c r="I100" s="100">
        <f>H100*8</f>
        <v>568</v>
      </c>
    </row>
    <row r="101" spans="1:6" ht="36" hidden="1">
      <c r="A101" s="40"/>
      <c r="B101" s="15" t="s">
        <v>69</v>
      </c>
      <c r="C101" s="16" t="s">
        <v>23</v>
      </c>
      <c r="D101" s="87" t="s">
        <v>383</v>
      </c>
      <c r="E101" s="21" t="s">
        <v>22</v>
      </c>
      <c r="F101" s="1">
        <v>1.04</v>
      </c>
    </row>
    <row r="102" spans="1:9" ht="36" hidden="1">
      <c r="A102" s="40"/>
      <c r="B102" s="15" t="s">
        <v>70</v>
      </c>
      <c r="C102" s="16" t="s">
        <v>23</v>
      </c>
      <c r="D102" s="87" t="s">
        <v>384</v>
      </c>
      <c r="E102" s="21" t="s">
        <v>22</v>
      </c>
      <c r="F102" s="1">
        <v>1.04</v>
      </c>
      <c r="H102" s="100">
        <v>71</v>
      </c>
      <c r="I102" s="100">
        <f>H102*4</f>
        <v>284</v>
      </c>
    </row>
    <row r="103" spans="1:9" ht="36" hidden="1">
      <c r="A103" s="40"/>
      <c r="B103" s="15" t="s">
        <v>385</v>
      </c>
      <c r="C103" s="16" t="s">
        <v>23</v>
      </c>
      <c r="D103" s="87" t="s">
        <v>382</v>
      </c>
      <c r="E103" s="21" t="s">
        <v>22</v>
      </c>
      <c r="F103" s="1">
        <v>1.04</v>
      </c>
      <c r="H103" s="100">
        <f>71</f>
        <v>71</v>
      </c>
      <c r="I103" s="100">
        <f>H103*24</f>
        <v>1704</v>
      </c>
    </row>
    <row r="104" spans="1:9" ht="57" customHeight="1" hidden="1">
      <c r="A104" s="82"/>
      <c r="B104" s="36" t="s">
        <v>386</v>
      </c>
      <c r="C104" s="35" t="s">
        <v>23</v>
      </c>
      <c r="D104" s="87" t="s">
        <v>380</v>
      </c>
      <c r="E104" s="21" t="s">
        <v>22</v>
      </c>
      <c r="F104" s="1">
        <v>1.04</v>
      </c>
      <c r="H104" s="100">
        <f>123</f>
        <v>123</v>
      </c>
      <c r="I104" s="100">
        <f>H104*8</f>
        <v>984</v>
      </c>
    </row>
    <row r="105" spans="1:6" ht="63.75" customHeight="1" hidden="1">
      <c r="A105" s="40"/>
      <c r="B105" s="15" t="s">
        <v>116</v>
      </c>
      <c r="C105" s="16" t="s">
        <v>71</v>
      </c>
      <c r="D105" s="87">
        <f>43*F105</f>
        <v>44.72</v>
      </c>
      <c r="E105" s="21"/>
      <c r="F105" s="1">
        <v>1.04</v>
      </c>
    </row>
    <row r="106" spans="1:6" ht="66.75" customHeight="1" hidden="1">
      <c r="A106" s="40"/>
      <c r="B106" s="17" t="s">
        <v>56</v>
      </c>
      <c r="C106" s="16" t="s">
        <v>57</v>
      </c>
      <c r="D106" s="87">
        <f>324*F106</f>
        <v>336.96000000000004</v>
      </c>
      <c r="E106" s="14" t="s">
        <v>19</v>
      </c>
      <c r="F106" s="1">
        <v>1.04</v>
      </c>
    </row>
    <row r="107" spans="1:6" ht="69.75" customHeight="1" hidden="1">
      <c r="A107" s="40"/>
      <c r="B107" s="17" t="s">
        <v>58</v>
      </c>
      <c r="C107" s="16" t="s">
        <v>57</v>
      </c>
      <c r="D107" s="87">
        <f>577*F107</f>
        <v>600.08</v>
      </c>
      <c r="E107" s="14" t="s">
        <v>19</v>
      </c>
      <c r="F107" s="1">
        <v>1.04</v>
      </c>
    </row>
    <row r="108" spans="1:6" ht="63" customHeight="1" hidden="1">
      <c r="A108" s="123"/>
      <c r="B108" s="120" t="s">
        <v>59</v>
      </c>
      <c r="C108" s="126" t="s">
        <v>57</v>
      </c>
      <c r="D108" s="128">
        <f>1102*F108</f>
        <v>1146.08</v>
      </c>
      <c r="E108" s="14" t="s">
        <v>19</v>
      </c>
      <c r="F108" s="1">
        <v>1.04</v>
      </c>
    </row>
    <row r="109" spans="1:6" ht="54" hidden="1">
      <c r="A109" s="124"/>
      <c r="B109" s="125"/>
      <c r="C109" s="127"/>
      <c r="D109" s="129"/>
      <c r="E109" s="14" t="s">
        <v>19</v>
      </c>
      <c r="F109" s="1">
        <v>1.04</v>
      </c>
    </row>
    <row r="110" spans="1:6" ht="76.5" customHeight="1" hidden="1">
      <c r="A110" s="61" t="s">
        <v>144</v>
      </c>
      <c r="B110" s="8" t="s">
        <v>27</v>
      </c>
      <c r="C110" s="9"/>
      <c r="D110" s="91"/>
      <c r="E110" s="38"/>
      <c r="F110" s="1">
        <v>1.04</v>
      </c>
    </row>
    <row r="111" spans="1:6" ht="54.75" customHeight="1" hidden="1">
      <c r="A111" s="40"/>
      <c r="B111" s="15" t="s">
        <v>24</v>
      </c>
      <c r="C111" s="16" t="s">
        <v>25</v>
      </c>
      <c r="D111" s="88">
        <f>27*F111</f>
        <v>28.080000000000002</v>
      </c>
      <c r="E111" s="14" t="s">
        <v>86</v>
      </c>
      <c r="F111" s="1">
        <v>1.04</v>
      </c>
    </row>
    <row r="112" spans="1:6" ht="54.75" customHeight="1" hidden="1">
      <c r="A112" s="40"/>
      <c r="B112" s="15" t="s">
        <v>26</v>
      </c>
      <c r="C112" s="16" t="s">
        <v>25</v>
      </c>
      <c r="D112" s="88">
        <f>27*F112</f>
        <v>28.080000000000002</v>
      </c>
      <c r="E112" s="14" t="s">
        <v>86</v>
      </c>
      <c r="F112" s="1">
        <v>1.04</v>
      </c>
    </row>
    <row r="113" spans="1:6" ht="66" customHeight="1" hidden="1">
      <c r="A113" s="61" t="s">
        <v>145</v>
      </c>
      <c r="B113" s="18" t="s">
        <v>16</v>
      </c>
      <c r="C113" s="7"/>
      <c r="D113" s="92"/>
      <c r="E113" s="56"/>
      <c r="F113" s="1">
        <v>1.04</v>
      </c>
    </row>
    <row r="114" spans="1:9" ht="55.5" customHeight="1" hidden="1">
      <c r="A114" s="28"/>
      <c r="B114" s="29" t="s">
        <v>117</v>
      </c>
      <c r="C114" s="28" t="s">
        <v>118</v>
      </c>
      <c r="D114" s="88" t="s">
        <v>370</v>
      </c>
      <c r="E114" s="29"/>
      <c r="F114" s="1">
        <v>1.04</v>
      </c>
      <c r="H114" s="100">
        <f>56*1.04</f>
        <v>58.24</v>
      </c>
      <c r="I114" s="100">
        <f>109*1.04</f>
        <v>113.36</v>
      </c>
    </row>
    <row r="115" spans="1:9" ht="47.25" customHeight="1" hidden="1">
      <c r="A115" s="28"/>
      <c r="B115" s="31" t="s">
        <v>119</v>
      </c>
      <c r="C115" s="28" t="s">
        <v>120</v>
      </c>
      <c r="D115" s="88" t="s">
        <v>371</v>
      </c>
      <c r="E115" s="29"/>
      <c r="F115" s="1">
        <v>1.04</v>
      </c>
      <c r="H115" s="100">
        <f>537*1.04</f>
        <v>558.48</v>
      </c>
      <c r="I115" s="100">
        <f>1049*1.04</f>
        <v>1090.96</v>
      </c>
    </row>
    <row r="116" spans="1:9" ht="47.25" customHeight="1" hidden="1">
      <c r="A116" s="28"/>
      <c r="B116" s="31" t="s">
        <v>121</v>
      </c>
      <c r="C116" s="28" t="s">
        <v>120</v>
      </c>
      <c r="D116" s="88" t="s">
        <v>372</v>
      </c>
      <c r="E116" s="29"/>
      <c r="F116" s="1">
        <v>1.04</v>
      </c>
      <c r="H116" s="100">
        <f>1059*1.04</f>
        <v>1101.3600000000001</v>
      </c>
      <c r="I116" s="100">
        <f>2081*1.04</f>
        <v>2164.2400000000002</v>
      </c>
    </row>
    <row r="117" spans="1:9" ht="47.25" customHeight="1" hidden="1">
      <c r="A117" s="28"/>
      <c r="B117" s="31" t="s">
        <v>122</v>
      </c>
      <c r="C117" s="28" t="s">
        <v>120</v>
      </c>
      <c r="D117" s="88" t="s">
        <v>372</v>
      </c>
      <c r="E117" s="29"/>
      <c r="F117" s="1">
        <v>1.04</v>
      </c>
      <c r="H117" s="100">
        <f>1059*1.04</f>
        <v>1101.3600000000001</v>
      </c>
      <c r="I117" s="100">
        <f>2081*1.04</f>
        <v>2164.2400000000002</v>
      </c>
    </row>
    <row r="118" spans="1:9" ht="47.25" customHeight="1" hidden="1">
      <c r="A118" s="28"/>
      <c r="B118" s="31" t="s">
        <v>123</v>
      </c>
      <c r="C118" s="28" t="s">
        <v>120</v>
      </c>
      <c r="D118" s="88" t="s">
        <v>373</v>
      </c>
      <c r="E118" s="29"/>
      <c r="F118" s="1">
        <v>1.04</v>
      </c>
      <c r="H118" s="100">
        <f>2101*F118</f>
        <v>2185.04</v>
      </c>
      <c r="I118" s="100">
        <f>4145*F118</f>
        <v>4310.8</v>
      </c>
    </row>
    <row r="119" spans="1:9" ht="47.25" customHeight="1" hidden="1">
      <c r="A119" s="28"/>
      <c r="B119" s="31" t="s">
        <v>124</v>
      </c>
      <c r="C119" s="28" t="s">
        <v>120</v>
      </c>
      <c r="D119" s="88" t="s">
        <v>374</v>
      </c>
      <c r="E119" s="29"/>
      <c r="F119" s="1">
        <v>1.04</v>
      </c>
      <c r="H119" s="100">
        <f>3144*F119</f>
        <v>3269.76</v>
      </c>
      <c r="I119" s="100">
        <f>6209*F119</f>
        <v>6457.360000000001</v>
      </c>
    </row>
    <row r="120" spans="1:9" ht="47.25" customHeight="1" hidden="1">
      <c r="A120" s="28"/>
      <c r="B120" s="31" t="s">
        <v>125</v>
      </c>
      <c r="C120" s="28" t="s">
        <v>120</v>
      </c>
      <c r="D120" s="88" t="s">
        <v>375</v>
      </c>
      <c r="E120" s="29"/>
      <c r="F120" s="1">
        <v>1.04</v>
      </c>
      <c r="H120" s="100">
        <f>6292*F120</f>
        <v>6543.68</v>
      </c>
      <c r="I120" s="100">
        <f>12423*F120</f>
        <v>12919.92</v>
      </c>
    </row>
    <row r="121" spans="1:6" ht="47.25" customHeight="1" hidden="1">
      <c r="A121" s="28"/>
      <c r="B121" s="32" t="s">
        <v>126</v>
      </c>
      <c r="C121" s="28" t="s">
        <v>120</v>
      </c>
      <c r="D121" s="87">
        <f>5459*F121</f>
        <v>5677.360000000001</v>
      </c>
      <c r="E121" s="30"/>
      <c r="F121" s="1">
        <v>1.04</v>
      </c>
    </row>
    <row r="122" spans="1:6" ht="54.75" customHeight="1" hidden="1">
      <c r="A122" s="28"/>
      <c r="B122" s="32" t="s">
        <v>127</v>
      </c>
      <c r="C122" s="28" t="s">
        <v>120</v>
      </c>
      <c r="D122" s="87">
        <f>9785*F122</f>
        <v>10176.4</v>
      </c>
      <c r="E122" s="30"/>
      <c r="F122" s="1">
        <v>1.04</v>
      </c>
    </row>
    <row r="123" spans="1:6" ht="47.25" customHeight="1" hidden="1">
      <c r="A123" s="28"/>
      <c r="B123" s="32" t="s">
        <v>128</v>
      </c>
      <c r="C123" s="28" t="s">
        <v>120</v>
      </c>
      <c r="D123" s="87">
        <f>6901*F123</f>
        <v>7177.04</v>
      </c>
      <c r="E123" s="30"/>
      <c r="F123" s="1">
        <v>1.04</v>
      </c>
    </row>
    <row r="124" spans="1:6" ht="54.75" customHeight="1" hidden="1">
      <c r="A124" s="28"/>
      <c r="B124" s="32" t="s">
        <v>129</v>
      </c>
      <c r="C124" s="28" t="s">
        <v>120</v>
      </c>
      <c r="D124" s="87">
        <f>12360*F124</f>
        <v>12854.4</v>
      </c>
      <c r="E124" s="30"/>
      <c r="F124" s="1">
        <v>1.04</v>
      </c>
    </row>
    <row r="125" spans="1:6" ht="47.25" customHeight="1" hidden="1">
      <c r="A125" s="28"/>
      <c r="B125" s="32" t="s">
        <v>130</v>
      </c>
      <c r="C125" s="28" t="s">
        <v>120</v>
      </c>
      <c r="D125" s="87">
        <f>7210*F125</f>
        <v>7498.400000000001</v>
      </c>
      <c r="E125" s="30"/>
      <c r="F125" s="1">
        <v>1.04</v>
      </c>
    </row>
    <row r="126" spans="1:6" ht="55.5" customHeight="1" hidden="1">
      <c r="A126" s="28"/>
      <c r="B126" s="32" t="s">
        <v>131</v>
      </c>
      <c r="C126" s="28" t="s">
        <v>120</v>
      </c>
      <c r="D126" s="87">
        <f>14420*F126</f>
        <v>14996.800000000001</v>
      </c>
      <c r="E126" s="30"/>
      <c r="F126" s="1">
        <v>1.04</v>
      </c>
    </row>
    <row r="127" spans="1:6" ht="47.25" customHeight="1" hidden="1">
      <c r="A127" s="28"/>
      <c r="B127" s="32" t="s">
        <v>132</v>
      </c>
      <c r="C127" s="28" t="s">
        <v>120</v>
      </c>
      <c r="D127" s="87">
        <f>9579*F127</f>
        <v>9962.16</v>
      </c>
      <c r="E127" s="30"/>
      <c r="F127" s="1">
        <v>1.04</v>
      </c>
    </row>
    <row r="128" spans="1:6" ht="56.25" customHeight="1" hidden="1">
      <c r="A128" s="28"/>
      <c r="B128" s="32" t="s">
        <v>133</v>
      </c>
      <c r="C128" s="28" t="s">
        <v>120</v>
      </c>
      <c r="D128" s="87">
        <f>16480*F128</f>
        <v>17139.2</v>
      </c>
      <c r="E128" s="30"/>
      <c r="F128" s="1">
        <v>1.04</v>
      </c>
    </row>
    <row r="129" spans="1:6" ht="47.25" customHeight="1" hidden="1">
      <c r="A129" s="28"/>
      <c r="B129" s="32" t="s">
        <v>134</v>
      </c>
      <c r="C129" s="28" t="s">
        <v>120</v>
      </c>
      <c r="D129" s="87">
        <f>30900*F129</f>
        <v>32136</v>
      </c>
      <c r="E129" s="30"/>
      <c r="F129" s="1">
        <v>1.04</v>
      </c>
    </row>
    <row r="130" spans="1:6" ht="54.75" customHeight="1" hidden="1">
      <c r="A130" s="28"/>
      <c r="B130" s="29" t="s">
        <v>140</v>
      </c>
      <c r="C130" s="33" t="s">
        <v>74</v>
      </c>
      <c r="D130" s="87">
        <f>56*F130</f>
        <v>58.24</v>
      </c>
      <c r="E130" s="57"/>
      <c r="F130" s="1">
        <v>1.04</v>
      </c>
    </row>
    <row r="131" spans="1:6" ht="24.75" customHeight="1" hidden="1">
      <c r="A131" s="28"/>
      <c r="B131" s="39" t="s">
        <v>146</v>
      </c>
      <c r="C131" s="34" t="s">
        <v>20</v>
      </c>
      <c r="D131" s="87">
        <f>4213*F131</f>
        <v>4381.52</v>
      </c>
      <c r="E131" s="58"/>
      <c r="F131" s="1">
        <v>1.04</v>
      </c>
    </row>
    <row r="132" spans="1:6" ht="25.5" customHeight="1" hidden="1">
      <c r="A132" s="28"/>
      <c r="B132" s="42" t="s">
        <v>150</v>
      </c>
      <c r="C132" s="43" t="s">
        <v>20</v>
      </c>
      <c r="D132" s="87">
        <f>3883*F132</f>
        <v>4038.32</v>
      </c>
      <c r="E132" s="37" t="s">
        <v>151</v>
      </c>
      <c r="F132" s="1">
        <v>1.04</v>
      </c>
    </row>
    <row r="133" spans="1:6" ht="25.5" customHeight="1" hidden="1">
      <c r="A133" s="28"/>
      <c r="B133" s="42" t="s">
        <v>152</v>
      </c>
      <c r="C133" s="43" t="s">
        <v>20</v>
      </c>
      <c r="D133" s="87">
        <f>5995*F133</f>
        <v>6234.8</v>
      </c>
      <c r="E133" s="37" t="s">
        <v>151</v>
      </c>
      <c r="F133" s="1">
        <v>1.04</v>
      </c>
    </row>
    <row r="134" spans="1:6" ht="25.5" customHeight="1" hidden="1">
      <c r="A134" s="28"/>
      <c r="B134" s="42" t="s">
        <v>153</v>
      </c>
      <c r="C134" s="43" t="s">
        <v>20</v>
      </c>
      <c r="D134" s="87">
        <f>4213*F134</f>
        <v>4381.52</v>
      </c>
      <c r="E134" s="37" t="s">
        <v>151</v>
      </c>
      <c r="F134" s="1">
        <v>1.04</v>
      </c>
    </row>
    <row r="135" spans="1:6" ht="25.5" customHeight="1" hidden="1">
      <c r="A135" s="28"/>
      <c r="B135" s="42" t="s">
        <v>154</v>
      </c>
      <c r="C135" s="43" t="s">
        <v>20</v>
      </c>
      <c r="D135" s="87">
        <f>3883*F135</f>
        <v>4038.32</v>
      </c>
      <c r="E135" s="37" t="s">
        <v>151</v>
      </c>
      <c r="F135" s="1">
        <v>1.04</v>
      </c>
    </row>
    <row r="136" spans="1:6" ht="25.5" customHeight="1" hidden="1">
      <c r="A136" s="28"/>
      <c r="B136" s="42" t="s">
        <v>155</v>
      </c>
      <c r="C136" s="43" t="s">
        <v>20</v>
      </c>
      <c r="D136" s="87">
        <f>4439*F136</f>
        <v>4616.56</v>
      </c>
      <c r="E136" s="37" t="s">
        <v>151</v>
      </c>
      <c r="F136" s="1">
        <v>1.04</v>
      </c>
    </row>
    <row r="137" spans="1:6" ht="25.5" customHeight="1" hidden="1">
      <c r="A137" s="28"/>
      <c r="B137" s="42" t="s">
        <v>156</v>
      </c>
      <c r="C137" s="43" t="s">
        <v>20</v>
      </c>
      <c r="D137" s="87">
        <f>4439*F137</f>
        <v>4616.56</v>
      </c>
      <c r="E137" s="37" t="s">
        <v>151</v>
      </c>
      <c r="F137" s="1">
        <v>1.04</v>
      </c>
    </row>
    <row r="138" spans="1:6" ht="25.5" customHeight="1" hidden="1">
      <c r="A138" s="28"/>
      <c r="B138" s="42" t="s">
        <v>157</v>
      </c>
      <c r="C138" s="43" t="s">
        <v>20</v>
      </c>
      <c r="D138" s="87">
        <f>5552*F138</f>
        <v>5774.08</v>
      </c>
      <c r="E138" s="37" t="s">
        <v>151</v>
      </c>
      <c r="F138" s="1">
        <v>1.04</v>
      </c>
    </row>
    <row r="139" spans="1:6" ht="25.5" customHeight="1" hidden="1">
      <c r="A139" s="28"/>
      <c r="B139" s="42" t="s">
        <v>158</v>
      </c>
      <c r="C139" s="43" t="s">
        <v>20</v>
      </c>
      <c r="D139" s="87">
        <f>3420*F139</f>
        <v>3556.8</v>
      </c>
      <c r="E139" s="37" t="s">
        <v>151</v>
      </c>
      <c r="F139" s="1">
        <v>1.04</v>
      </c>
    </row>
    <row r="140" spans="1:6" ht="25.5" customHeight="1" hidden="1">
      <c r="A140" s="28"/>
      <c r="B140" s="42" t="s">
        <v>159</v>
      </c>
      <c r="C140" s="43" t="s">
        <v>20</v>
      </c>
      <c r="D140" s="87">
        <f>3883*F140</f>
        <v>4038.32</v>
      </c>
      <c r="E140" s="14" t="s">
        <v>151</v>
      </c>
      <c r="F140" s="1">
        <v>1.04</v>
      </c>
    </row>
    <row r="141" spans="1:6" ht="25.5" customHeight="1" hidden="1">
      <c r="A141" s="28"/>
      <c r="B141" s="42" t="s">
        <v>160</v>
      </c>
      <c r="C141" s="43" t="s">
        <v>20</v>
      </c>
      <c r="D141" s="87">
        <f>4439*F141</f>
        <v>4616.56</v>
      </c>
      <c r="E141" s="37" t="s">
        <v>151</v>
      </c>
      <c r="F141" s="1">
        <v>1.04</v>
      </c>
    </row>
    <row r="142" spans="1:6" ht="25.5" customHeight="1" hidden="1">
      <c r="A142" s="28"/>
      <c r="B142" s="42" t="s">
        <v>161</v>
      </c>
      <c r="C142" s="43" t="s">
        <v>20</v>
      </c>
      <c r="D142" s="87">
        <f>4439*F142</f>
        <v>4616.56</v>
      </c>
      <c r="E142" s="37" t="s">
        <v>151</v>
      </c>
      <c r="F142" s="1">
        <v>1.04</v>
      </c>
    </row>
    <row r="143" spans="1:6" ht="25.5" customHeight="1" hidden="1">
      <c r="A143" s="28"/>
      <c r="B143" s="42" t="s">
        <v>162</v>
      </c>
      <c r="C143" s="43" t="s">
        <v>20</v>
      </c>
      <c r="D143" s="87">
        <f>3420*F143</f>
        <v>3556.8</v>
      </c>
      <c r="E143" s="37" t="s">
        <v>151</v>
      </c>
      <c r="F143" s="1">
        <v>1.04</v>
      </c>
    </row>
    <row r="144" spans="1:6" ht="25.5" customHeight="1" hidden="1">
      <c r="A144" s="28"/>
      <c r="B144" s="42" t="s">
        <v>163</v>
      </c>
      <c r="C144" s="43" t="s">
        <v>20</v>
      </c>
      <c r="D144" s="87">
        <f>4212*F144</f>
        <v>4380.4800000000005</v>
      </c>
      <c r="E144" s="37" t="s">
        <v>151</v>
      </c>
      <c r="F144" s="1">
        <v>1.04</v>
      </c>
    </row>
    <row r="145" spans="1:6" ht="25.5" customHeight="1" hidden="1">
      <c r="A145" s="28"/>
      <c r="B145" s="42" t="s">
        <v>164</v>
      </c>
      <c r="C145" s="43" t="s">
        <v>20</v>
      </c>
      <c r="D145" s="87">
        <f>3420*F145</f>
        <v>3556.8</v>
      </c>
      <c r="E145" s="37" t="s">
        <v>151</v>
      </c>
      <c r="F145" s="1">
        <v>1.04</v>
      </c>
    </row>
    <row r="146" spans="1:6" ht="25.5" customHeight="1" hidden="1">
      <c r="A146" s="28"/>
      <c r="B146" s="42" t="s">
        <v>165</v>
      </c>
      <c r="C146" s="43" t="s">
        <v>20</v>
      </c>
      <c r="D146" s="87">
        <f>3420*F146</f>
        <v>3556.8</v>
      </c>
      <c r="E146" s="37" t="s">
        <v>151</v>
      </c>
      <c r="F146" s="1">
        <v>1.04</v>
      </c>
    </row>
    <row r="147" spans="1:6" ht="25.5" customHeight="1" hidden="1">
      <c r="A147" s="28"/>
      <c r="B147" s="42" t="s">
        <v>166</v>
      </c>
      <c r="C147" s="43" t="s">
        <v>20</v>
      </c>
      <c r="D147" s="87">
        <f>4439*F147</f>
        <v>4616.56</v>
      </c>
      <c r="E147" s="37" t="s">
        <v>151</v>
      </c>
      <c r="F147" s="1">
        <v>1.04</v>
      </c>
    </row>
    <row r="148" spans="1:6" ht="25.5" customHeight="1" hidden="1">
      <c r="A148" s="28"/>
      <c r="B148" s="42" t="s">
        <v>167</v>
      </c>
      <c r="C148" s="43" t="s">
        <v>20</v>
      </c>
      <c r="D148" s="87">
        <f>3420*F148</f>
        <v>3556.8</v>
      </c>
      <c r="E148" s="37" t="s">
        <v>151</v>
      </c>
      <c r="F148" s="1">
        <v>1.04</v>
      </c>
    </row>
    <row r="149" spans="1:6" ht="25.5" customHeight="1" hidden="1">
      <c r="A149" s="28"/>
      <c r="B149" s="42" t="s">
        <v>168</v>
      </c>
      <c r="C149" s="43" t="s">
        <v>20</v>
      </c>
      <c r="D149" s="87">
        <f>3883*F149</f>
        <v>4038.32</v>
      </c>
      <c r="E149" s="37" t="s">
        <v>151</v>
      </c>
      <c r="F149" s="1">
        <v>1.04</v>
      </c>
    </row>
    <row r="150" spans="1:6" ht="25.5" customHeight="1" hidden="1">
      <c r="A150" s="28"/>
      <c r="B150" s="42" t="s">
        <v>169</v>
      </c>
      <c r="C150" s="43" t="s">
        <v>20</v>
      </c>
      <c r="D150" s="87">
        <f>3420*F150</f>
        <v>3556.8</v>
      </c>
      <c r="E150" s="37" t="s">
        <v>151</v>
      </c>
      <c r="F150" s="1">
        <v>1.04</v>
      </c>
    </row>
    <row r="151" spans="1:6" ht="25.5" customHeight="1" hidden="1">
      <c r="A151" s="28"/>
      <c r="B151" s="42" t="s">
        <v>170</v>
      </c>
      <c r="C151" s="43" t="s">
        <v>20</v>
      </c>
      <c r="D151" s="87">
        <f>4439*F151</f>
        <v>4616.56</v>
      </c>
      <c r="E151" s="37" t="s">
        <v>151</v>
      </c>
      <c r="F151" s="1">
        <v>1.04</v>
      </c>
    </row>
    <row r="152" spans="1:6" ht="25.5" customHeight="1" hidden="1">
      <c r="A152" s="28"/>
      <c r="B152" s="42" t="s">
        <v>171</v>
      </c>
      <c r="C152" s="43" t="s">
        <v>20</v>
      </c>
      <c r="D152" s="87">
        <f>3420*F152</f>
        <v>3556.8</v>
      </c>
      <c r="E152" s="37" t="s">
        <v>151</v>
      </c>
      <c r="F152" s="1">
        <v>1.04</v>
      </c>
    </row>
    <row r="153" spans="1:6" ht="25.5" customHeight="1" hidden="1">
      <c r="A153" s="28"/>
      <c r="B153" s="42" t="s">
        <v>172</v>
      </c>
      <c r="C153" s="43" t="s">
        <v>20</v>
      </c>
      <c r="D153" s="87">
        <f>4439*F153</f>
        <v>4616.56</v>
      </c>
      <c r="E153" s="37" t="s">
        <v>151</v>
      </c>
      <c r="F153" s="1">
        <v>1.04</v>
      </c>
    </row>
    <row r="154" spans="1:6" ht="25.5" customHeight="1" hidden="1">
      <c r="A154" s="28"/>
      <c r="B154" s="42" t="s">
        <v>173</v>
      </c>
      <c r="C154" s="43" t="s">
        <v>174</v>
      </c>
      <c r="D154" s="87">
        <f>1671*F154</f>
        <v>1737.8400000000001</v>
      </c>
      <c r="E154" s="37" t="s">
        <v>151</v>
      </c>
      <c r="F154" s="1">
        <v>1.04</v>
      </c>
    </row>
    <row r="155" spans="1:6" ht="25.5" customHeight="1" hidden="1">
      <c r="A155" s="28"/>
      <c r="B155" s="42" t="s">
        <v>175</v>
      </c>
      <c r="C155" s="43" t="s">
        <v>176</v>
      </c>
      <c r="D155" s="87">
        <f>556*F155</f>
        <v>578.24</v>
      </c>
      <c r="E155" s="57"/>
      <c r="F155" s="1">
        <v>1.04</v>
      </c>
    </row>
    <row r="156" spans="1:6" ht="31.5" customHeight="1" hidden="1">
      <c r="A156" s="28"/>
      <c r="B156" s="44" t="s">
        <v>177</v>
      </c>
      <c r="C156" s="43" t="s">
        <v>176</v>
      </c>
      <c r="D156" s="87">
        <f>390*F156</f>
        <v>405.6</v>
      </c>
      <c r="E156" s="57"/>
      <c r="F156" s="1">
        <v>1.04</v>
      </c>
    </row>
    <row r="157" spans="1:6" ht="24" customHeight="1" hidden="1">
      <c r="A157" s="28"/>
      <c r="B157" s="44" t="s">
        <v>210</v>
      </c>
      <c r="C157" s="43" t="s">
        <v>176</v>
      </c>
      <c r="D157" s="87">
        <f>1337*F157</f>
        <v>1390.48</v>
      </c>
      <c r="E157" s="57"/>
      <c r="F157" s="1">
        <v>1.04</v>
      </c>
    </row>
    <row r="158" spans="1:6" ht="25.5" customHeight="1" hidden="1">
      <c r="A158" s="28"/>
      <c r="B158" s="29" t="s">
        <v>211</v>
      </c>
      <c r="C158" s="33" t="s">
        <v>212</v>
      </c>
      <c r="D158" s="87">
        <f>149*F158</f>
        <v>154.96</v>
      </c>
      <c r="E158" s="57"/>
      <c r="F158" s="1">
        <v>1.04</v>
      </c>
    </row>
    <row r="159" spans="1:6" ht="36.75" customHeight="1" hidden="1">
      <c r="A159" s="28"/>
      <c r="B159" s="29" t="s">
        <v>216</v>
      </c>
      <c r="C159" s="33" t="s">
        <v>217</v>
      </c>
      <c r="D159" s="87">
        <f>515*F159</f>
        <v>535.6</v>
      </c>
      <c r="E159" s="57"/>
      <c r="F159" s="1">
        <v>1.04</v>
      </c>
    </row>
    <row r="160" spans="1:6" ht="33.75" customHeight="1" hidden="1">
      <c r="A160" s="28"/>
      <c r="B160" s="29" t="s">
        <v>218</v>
      </c>
      <c r="C160" s="33" t="s">
        <v>217</v>
      </c>
      <c r="D160" s="87">
        <f>824*F160</f>
        <v>856.96</v>
      </c>
      <c r="E160" s="57"/>
      <c r="F160" s="1">
        <v>1.04</v>
      </c>
    </row>
    <row r="161" spans="1:6" ht="25.5" customHeight="1" hidden="1">
      <c r="A161" s="28"/>
      <c r="B161" s="29" t="s">
        <v>219</v>
      </c>
      <c r="C161" s="33" t="s">
        <v>217</v>
      </c>
      <c r="D161" s="87">
        <f>309*F161</f>
        <v>321.36</v>
      </c>
      <c r="E161" s="57"/>
      <c r="F161" s="1">
        <v>1.04</v>
      </c>
    </row>
    <row r="162" spans="1:6" ht="35.25" customHeight="1" hidden="1">
      <c r="A162" s="28"/>
      <c r="B162" s="29" t="s">
        <v>220</v>
      </c>
      <c r="C162" s="33" t="s">
        <v>217</v>
      </c>
      <c r="D162" s="87">
        <f>1236*F162</f>
        <v>1285.44</v>
      </c>
      <c r="E162" s="57"/>
      <c r="F162" s="1">
        <v>1.04</v>
      </c>
    </row>
    <row r="163" spans="1:6" ht="36" customHeight="1" hidden="1">
      <c r="A163" s="28"/>
      <c r="B163" s="29" t="s">
        <v>221</v>
      </c>
      <c r="C163" s="33" t="s">
        <v>217</v>
      </c>
      <c r="D163" s="87">
        <f>618*F163</f>
        <v>642.72</v>
      </c>
      <c r="E163" s="57"/>
      <c r="F163" s="1">
        <v>1.04</v>
      </c>
    </row>
    <row r="164" spans="1:6" ht="37.5" customHeight="1" hidden="1">
      <c r="A164" s="28"/>
      <c r="B164" s="29" t="s">
        <v>222</v>
      </c>
      <c r="C164" s="33" t="s">
        <v>217</v>
      </c>
      <c r="D164" s="87">
        <f>618*F164</f>
        <v>642.72</v>
      </c>
      <c r="E164" s="57"/>
      <c r="F164" s="1">
        <v>1.04</v>
      </c>
    </row>
    <row r="165" spans="1:6" ht="25.5" customHeight="1" hidden="1">
      <c r="A165" s="28"/>
      <c r="B165" s="29" t="s">
        <v>213</v>
      </c>
      <c r="C165" s="33" t="s">
        <v>214</v>
      </c>
      <c r="D165" s="87">
        <f>618*F165</f>
        <v>642.72</v>
      </c>
      <c r="E165" s="57"/>
      <c r="F165" s="1">
        <v>1.04</v>
      </c>
    </row>
    <row r="166" spans="1:6" ht="27" customHeight="1" hidden="1">
      <c r="A166" s="28"/>
      <c r="B166" s="29" t="s">
        <v>223</v>
      </c>
      <c r="C166" s="33" t="s">
        <v>217</v>
      </c>
      <c r="D166" s="87">
        <f>309*F166</f>
        <v>321.36</v>
      </c>
      <c r="E166" s="57"/>
      <c r="F166" s="1">
        <v>1.04</v>
      </c>
    </row>
    <row r="167" spans="1:6" ht="39" customHeight="1" hidden="1">
      <c r="A167" s="28"/>
      <c r="B167" s="29" t="s">
        <v>224</v>
      </c>
      <c r="C167" s="33" t="s">
        <v>217</v>
      </c>
      <c r="D167" s="87">
        <f>155*F167</f>
        <v>161.20000000000002</v>
      </c>
      <c r="E167" s="57"/>
      <c r="F167" s="1">
        <v>1.04</v>
      </c>
    </row>
    <row r="168" spans="1:6" ht="25.5" customHeight="1" hidden="1">
      <c r="A168" s="28"/>
      <c r="B168" s="29" t="s">
        <v>225</v>
      </c>
      <c r="C168" s="33" t="s">
        <v>217</v>
      </c>
      <c r="D168" s="87">
        <f>1236*F168</f>
        <v>1285.44</v>
      </c>
      <c r="E168" s="57"/>
      <c r="F168" s="1">
        <v>1.04</v>
      </c>
    </row>
    <row r="169" spans="1:6" ht="38.25" customHeight="1" hidden="1">
      <c r="A169" s="28"/>
      <c r="B169" s="47" t="s">
        <v>178</v>
      </c>
      <c r="C169" s="43"/>
      <c r="D169" s="87"/>
      <c r="E169" s="46"/>
      <c r="F169" s="1">
        <v>1.04</v>
      </c>
    </row>
    <row r="170" spans="1:6" ht="25.5" customHeight="1" hidden="1">
      <c r="A170" s="28"/>
      <c r="B170" s="45" t="s">
        <v>179</v>
      </c>
      <c r="C170" s="43" t="s">
        <v>214</v>
      </c>
      <c r="D170" s="87">
        <f>309*F170</f>
        <v>321.36</v>
      </c>
      <c r="E170" s="46"/>
      <c r="F170" s="1">
        <v>1.04</v>
      </c>
    </row>
    <row r="171" spans="1:6" ht="25.5" customHeight="1" hidden="1">
      <c r="A171" s="28"/>
      <c r="B171" s="45" t="s">
        <v>180</v>
      </c>
      <c r="C171" s="43" t="s">
        <v>214</v>
      </c>
      <c r="D171" s="87">
        <f>515*F171</f>
        <v>535.6</v>
      </c>
      <c r="E171" s="46"/>
      <c r="F171" s="1">
        <v>1.04</v>
      </c>
    </row>
    <row r="172" spans="1:6" ht="25.5" customHeight="1" hidden="1">
      <c r="A172" s="28"/>
      <c r="B172" s="47" t="s">
        <v>181</v>
      </c>
      <c r="C172" s="43"/>
      <c r="D172" s="87"/>
      <c r="E172" s="46"/>
      <c r="F172" s="1">
        <v>1.04</v>
      </c>
    </row>
    <row r="173" spans="1:6" ht="25.5" customHeight="1" hidden="1">
      <c r="A173" s="28"/>
      <c r="B173" s="45" t="s">
        <v>182</v>
      </c>
      <c r="C173" s="43" t="s">
        <v>214</v>
      </c>
      <c r="D173" s="87">
        <f>309*F173</f>
        <v>321.36</v>
      </c>
      <c r="E173" s="46"/>
      <c r="F173" s="1">
        <v>1.04</v>
      </c>
    </row>
    <row r="174" spans="1:6" ht="24" customHeight="1" hidden="1">
      <c r="A174" s="28"/>
      <c r="B174" s="45" t="s">
        <v>183</v>
      </c>
      <c r="C174" s="43" t="s">
        <v>214</v>
      </c>
      <c r="D174" s="87">
        <f>412*F174</f>
        <v>428.48</v>
      </c>
      <c r="E174" s="46"/>
      <c r="F174" s="1">
        <v>1.04</v>
      </c>
    </row>
    <row r="175" spans="1:6" ht="39" customHeight="1" hidden="1">
      <c r="A175" s="28"/>
      <c r="B175" s="45" t="s">
        <v>226</v>
      </c>
      <c r="C175" s="43" t="s">
        <v>227</v>
      </c>
      <c r="D175" s="87">
        <f>52*F175</f>
        <v>54.08</v>
      </c>
      <c r="E175" s="46"/>
      <c r="F175" s="1">
        <v>1.04</v>
      </c>
    </row>
    <row r="176" spans="1:6" ht="25.5" customHeight="1" hidden="1">
      <c r="A176" s="28"/>
      <c r="B176" s="48" t="s">
        <v>184</v>
      </c>
      <c r="C176" s="43" t="s">
        <v>135</v>
      </c>
      <c r="D176" s="87">
        <f>42*F176</f>
        <v>43.68</v>
      </c>
      <c r="E176" s="46"/>
      <c r="F176" s="1">
        <v>1.04</v>
      </c>
    </row>
    <row r="177" spans="1:6" ht="25.5" customHeight="1" hidden="1">
      <c r="A177" s="28"/>
      <c r="B177" s="48" t="s">
        <v>185</v>
      </c>
      <c r="C177" s="43" t="s">
        <v>135</v>
      </c>
      <c r="D177" s="87">
        <f>54*F177</f>
        <v>56.160000000000004</v>
      </c>
      <c r="E177" s="46"/>
      <c r="F177" s="1">
        <v>1.04</v>
      </c>
    </row>
    <row r="178" spans="1:6" ht="25.5" customHeight="1" hidden="1">
      <c r="A178" s="28"/>
      <c r="B178" s="48" t="s">
        <v>186</v>
      </c>
      <c r="C178" s="43" t="s">
        <v>135</v>
      </c>
      <c r="D178" s="87">
        <f>65*F178</f>
        <v>67.60000000000001</v>
      </c>
      <c r="E178" s="46"/>
      <c r="F178" s="1">
        <v>1.04</v>
      </c>
    </row>
    <row r="179" spans="1:6" ht="25.5" customHeight="1" hidden="1">
      <c r="A179" s="28"/>
      <c r="B179" s="48" t="s">
        <v>187</v>
      </c>
      <c r="C179" s="43" t="s">
        <v>135</v>
      </c>
      <c r="D179" s="87">
        <f>79*F179</f>
        <v>82.16</v>
      </c>
      <c r="E179" s="46"/>
      <c r="F179" s="1">
        <v>1.04</v>
      </c>
    </row>
    <row r="180" spans="1:6" ht="25.5" customHeight="1" hidden="1">
      <c r="A180" s="28"/>
      <c r="B180" s="48" t="s">
        <v>188</v>
      </c>
      <c r="C180" s="43" t="s">
        <v>135</v>
      </c>
      <c r="D180" s="87">
        <f>91*F180</f>
        <v>94.64</v>
      </c>
      <c r="E180" s="46"/>
      <c r="F180" s="1">
        <v>1.04</v>
      </c>
    </row>
    <row r="181" spans="1:6" ht="25.5" customHeight="1" hidden="1">
      <c r="A181" s="28"/>
      <c r="B181" s="48" t="s">
        <v>189</v>
      </c>
      <c r="C181" s="43" t="s">
        <v>135</v>
      </c>
      <c r="D181" s="87">
        <f>102*F181</f>
        <v>106.08</v>
      </c>
      <c r="E181" s="46"/>
      <c r="F181" s="1">
        <v>1.04</v>
      </c>
    </row>
    <row r="182" spans="1:6" ht="25.5" customHeight="1" hidden="1">
      <c r="A182" s="28"/>
      <c r="B182" s="48" t="s">
        <v>190</v>
      </c>
      <c r="C182" s="43" t="s">
        <v>135</v>
      </c>
      <c r="D182" s="87">
        <f>130*F182</f>
        <v>135.20000000000002</v>
      </c>
      <c r="E182" s="46"/>
      <c r="F182" s="1">
        <v>1.04</v>
      </c>
    </row>
    <row r="183" spans="1:6" ht="25.5" customHeight="1" hidden="1">
      <c r="A183" s="28"/>
      <c r="B183" s="50" t="s">
        <v>228</v>
      </c>
      <c r="C183" s="33" t="s">
        <v>229</v>
      </c>
      <c r="D183" s="87">
        <f>52*F183</f>
        <v>54.08</v>
      </c>
      <c r="E183" s="46"/>
      <c r="F183" s="1">
        <v>1.04</v>
      </c>
    </row>
    <row r="184" spans="1:6" ht="25.5" customHeight="1" hidden="1">
      <c r="A184" s="28"/>
      <c r="B184" s="50" t="s">
        <v>230</v>
      </c>
      <c r="C184" s="33" t="s">
        <v>229</v>
      </c>
      <c r="D184" s="87">
        <f>26*F184</f>
        <v>27.04</v>
      </c>
      <c r="E184" s="46"/>
      <c r="F184" s="1">
        <v>1.04</v>
      </c>
    </row>
    <row r="185" spans="1:6" ht="28.5" customHeight="1" hidden="1">
      <c r="A185" s="28"/>
      <c r="B185" s="50" t="s">
        <v>231</v>
      </c>
      <c r="C185" s="33" t="s">
        <v>229</v>
      </c>
      <c r="D185" s="87">
        <f>59*F185</f>
        <v>61.36</v>
      </c>
      <c r="E185" s="46"/>
      <c r="F185" s="1">
        <v>1.04</v>
      </c>
    </row>
    <row r="186" spans="1:6" ht="31.5" customHeight="1" hidden="1">
      <c r="A186" s="28"/>
      <c r="B186" s="50" t="s">
        <v>232</v>
      </c>
      <c r="C186" s="33" t="s">
        <v>229</v>
      </c>
      <c r="D186" s="87">
        <f>29*F186</f>
        <v>30.16</v>
      </c>
      <c r="E186" s="46"/>
      <c r="F186" s="1">
        <v>1.04</v>
      </c>
    </row>
    <row r="187" spans="1:6" ht="25.5" customHeight="1" hidden="1">
      <c r="A187" s="28"/>
      <c r="B187" s="48" t="s">
        <v>191</v>
      </c>
      <c r="C187" s="43" t="s">
        <v>135</v>
      </c>
      <c r="D187" s="87">
        <f>18*F187</f>
        <v>18.72</v>
      </c>
      <c r="E187" s="46"/>
      <c r="F187" s="1">
        <v>1.04</v>
      </c>
    </row>
    <row r="188" spans="1:6" ht="25.5" customHeight="1" hidden="1">
      <c r="A188" s="28"/>
      <c r="B188" s="48" t="s">
        <v>192</v>
      </c>
      <c r="C188" s="43" t="s">
        <v>135</v>
      </c>
      <c r="D188" s="87">
        <f>26*F188</f>
        <v>27.04</v>
      </c>
      <c r="E188" s="46"/>
      <c r="F188" s="1">
        <v>1.04</v>
      </c>
    </row>
    <row r="189" spans="1:6" ht="25.5" customHeight="1" hidden="1">
      <c r="A189" s="28"/>
      <c r="B189" s="48" t="s">
        <v>193</v>
      </c>
      <c r="C189" s="43" t="s">
        <v>135</v>
      </c>
      <c r="D189" s="87">
        <f>36*F189</f>
        <v>37.44</v>
      </c>
      <c r="E189" s="46"/>
      <c r="F189" s="1">
        <v>1.04</v>
      </c>
    </row>
    <row r="190" spans="1:6" ht="25.5" customHeight="1" hidden="1">
      <c r="A190" s="28"/>
      <c r="B190" s="48" t="s">
        <v>194</v>
      </c>
      <c r="C190" s="43" t="s">
        <v>135</v>
      </c>
      <c r="D190" s="87">
        <f>49*F190</f>
        <v>50.96</v>
      </c>
      <c r="E190" s="46"/>
      <c r="F190" s="1">
        <v>1.04</v>
      </c>
    </row>
    <row r="191" spans="1:6" ht="25.5" customHeight="1" hidden="1">
      <c r="A191" s="28"/>
      <c r="B191" s="48" t="s">
        <v>195</v>
      </c>
      <c r="C191" s="43" t="s">
        <v>135</v>
      </c>
      <c r="D191" s="87">
        <f>56*F191</f>
        <v>58.24</v>
      </c>
      <c r="E191" s="46"/>
      <c r="F191" s="1">
        <v>1.04</v>
      </c>
    </row>
    <row r="192" spans="1:6" ht="25.5" customHeight="1" hidden="1">
      <c r="A192" s="28"/>
      <c r="B192" s="48" t="s">
        <v>196</v>
      </c>
      <c r="C192" s="43" t="s">
        <v>135</v>
      </c>
      <c r="D192" s="87">
        <f>62*F192</f>
        <v>64.48</v>
      </c>
      <c r="E192" s="46"/>
      <c r="F192" s="1">
        <v>1.04</v>
      </c>
    </row>
    <row r="193" spans="1:6" ht="25.5" customHeight="1" hidden="1">
      <c r="A193" s="28"/>
      <c r="B193" s="48" t="s">
        <v>197</v>
      </c>
      <c r="C193" s="43" t="s">
        <v>135</v>
      </c>
      <c r="D193" s="87">
        <f>71*F193</f>
        <v>73.84</v>
      </c>
      <c r="E193" s="46"/>
      <c r="F193" s="1">
        <v>1.04</v>
      </c>
    </row>
    <row r="194" spans="1:6" ht="25.5" customHeight="1" hidden="1">
      <c r="A194" s="28"/>
      <c r="B194" s="48" t="s">
        <v>198</v>
      </c>
      <c r="C194" s="43" t="s">
        <v>135</v>
      </c>
      <c r="D194" s="87">
        <f>77*F194</f>
        <v>80.08</v>
      </c>
      <c r="E194" s="46"/>
      <c r="F194" s="1">
        <v>1.04</v>
      </c>
    </row>
    <row r="195" spans="1:6" ht="25.5" customHeight="1" hidden="1">
      <c r="A195" s="28"/>
      <c r="B195" s="48" t="s">
        <v>199</v>
      </c>
      <c r="C195" s="43" t="s">
        <v>215</v>
      </c>
      <c r="D195" s="106">
        <f>8*F195</f>
        <v>8.32</v>
      </c>
      <c r="E195" s="46"/>
      <c r="F195" s="1">
        <v>1.04</v>
      </c>
    </row>
    <row r="196" spans="1:6" ht="25.5" customHeight="1" hidden="1">
      <c r="A196" s="28"/>
      <c r="B196" s="48" t="s">
        <v>200</v>
      </c>
      <c r="C196" s="43" t="s">
        <v>215</v>
      </c>
      <c r="D196" s="87">
        <f>16*F196</f>
        <v>16.64</v>
      </c>
      <c r="E196" s="46"/>
      <c r="F196" s="1">
        <v>1.04</v>
      </c>
    </row>
    <row r="197" spans="1:6" ht="25.5" customHeight="1" hidden="1">
      <c r="A197" s="28"/>
      <c r="B197" s="45" t="s">
        <v>201</v>
      </c>
      <c r="C197" s="43" t="s">
        <v>135</v>
      </c>
      <c r="D197" s="87">
        <f>206*F197</f>
        <v>214.24</v>
      </c>
      <c r="E197" s="46"/>
      <c r="F197" s="1">
        <v>1.04</v>
      </c>
    </row>
    <row r="198" spans="1:6" ht="25.5" customHeight="1" hidden="1">
      <c r="A198" s="28"/>
      <c r="B198" s="45" t="s">
        <v>202</v>
      </c>
      <c r="C198" s="43" t="s">
        <v>135</v>
      </c>
      <c r="D198" s="87">
        <f>12*F198</f>
        <v>12.48</v>
      </c>
      <c r="E198" s="46"/>
      <c r="F198" s="1">
        <v>1.04</v>
      </c>
    </row>
    <row r="199" spans="1:6" ht="25.5" customHeight="1" hidden="1">
      <c r="A199" s="28"/>
      <c r="B199" s="45" t="s">
        <v>203</v>
      </c>
      <c r="C199" s="43" t="s">
        <v>215</v>
      </c>
      <c r="D199" s="106">
        <f>4*F199</f>
        <v>4.16</v>
      </c>
      <c r="E199" s="46"/>
      <c r="F199" s="1">
        <v>1.04</v>
      </c>
    </row>
    <row r="200" spans="1:6" ht="25.5" customHeight="1" hidden="1">
      <c r="A200" s="28"/>
      <c r="B200" s="48" t="s">
        <v>204</v>
      </c>
      <c r="C200" s="43" t="s">
        <v>135</v>
      </c>
      <c r="D200" s="106">
        <f>7*F200</f>
        <v>7.28</v>
      </c>
      <c r="E200" s="46"/>
      <c r="F200" s="1">
        <v>1.04</v>
      </c>
    </row>
    <row r="201" spans="1:6" ht="25.5" customHeight="1" hidden="1">
      <c r="A201" s="28"/>
      <c r="B201" s="48" t="s">
        <v>205</v>
      </c>
      <c r="C201" s="43" t="s">
        <v>135</v>
      </c>
      <c r="D201" s="87">
        <f>12*F201</f>
        <v>12.48</v>
      </c>
      <c r="E201" s="46"/>
      <c r="F201" s="1">
        <v>1.04</v>
      </c>
    </row>
    <row r="202" spans="1:6" ht="25.5" customHeight="1" hidden="1">
      <c r="A202" s="28"/>
      <c r="B202" s="48" t="s">
        <v>206</v>
      </c>
      <c r="C202" s="43" t="s">
        <v>135</v>
      </c>
      <c r="D202" s="106">
        <f>1*F202</f>
        <v>1.04</v>
      </c>
      <c r="E202" s="46"/>
      <c r="F202" s="1">
        <v>1.04</v>
      </c>
    </row>
    <row r="203" spans="1:6" ht="25.5" customHeight="1" hidden="1">
      <c r="A203" s="28"/>
      <c r="B203" s="48" t="s">
        <v>207</v>
      </c>
      <c r="C203" s="43" t="s">
        <v>135</v>
      </c>
      <c r="D203" s="87">
        <f>711*F203</f>
        <v>739.44</v>
      </c>
      <c r="E203" s="46"/>
      <c r="F203" s="1">
        <v>1.04</v>
      </c>
    </row>
    <row r="204" spans="1:6" ht="25.5" customHeight="1" hidden="1">
      <c r="A204" s="28"/>
      <c r="B204" s="45" t="s">
        <v>208</v>
      </c>
      <c r="C204" s="43" t="s">
        <v>135</v>
      </c>
      <c r="D204" s="87">
        <f>11*F204</f>
        <v>11.440000000000001</v>
      </c>
      <c r="E204" s="46"/>
      <c r="F204" s="1">
        <v>1.04</v>
      </c>
    </row>
    <row r="205" spans="1:6" ht="25.5" customHeight="1" hidden="1">
      <c r="A205" s="28"/>
      <c r="B205" s="45" t="s">
        <v>209</v>
      </c>
      <c r="C205" s="43" t="s">
        <v>135</v>
      </c>
      <c r="D205" s="87">
        <f>10*F205</f>
        <v>10.4</v>
      </c>
      <c r="E205" s="46"/>
      <c r="F205" s="1">
        <v>1.04</v>
      </c>
    </row>
    <row r="206" spans="1:9" s="20" customFormat="1" ht="33.75" customHeight="1" hidden="1">
      <c r="A206" s="34"/>
      <c r="B206" s="39" t="s">
        <v>136</v>
      </c>
      <c r="C206" s="34" t="s">
        <v>135</v>
      </c>
      <c r="D206" s="87">
        <f>15*F206</f>
        <v>15.600000000000001</v>
      </c>
      <c r="E206" s="58"/>
      <c r="F206" s="1">
        <v>1.04</v>
      </c>
      <c r="H206" s="102"/>
      <c r="I206" s="102"/>
    </row>
    <row r="207" spans="1:9" s="20" customFormat="1" ht="33.75" customHeight="1" hidden="1">
      <c r="A207" s="34"/>
      <c r="B207" s="39" t="s">
        <v>137</v>
      </c>
      <c r="C207" s="34" t="s">
        <v>135</v>
      </c>
      <c r="D207" s="87">
        <f>15*F207</f>
        <v>15.600000000000001</v>
      </c>
      <c r="E207" s="58"/>
      <c r="F207" s="1">
        <v>1.04</v>
      </c>
      <c r="H207" s="102"/>
      <c r="I207" s="102"/>
    </row>
    <row r="208" spans="1:9" s="20" customFormat="1" ht="33.75" customHeight="1" hidden="1">
      <c r="A208" s="34"/>
      <c r="B208" s="39" t="s">
        <v>138</v>
      </c>
      <c r="C208" s="34" t="s">
        <v>135</v>
      </c>
      <c r="D208" s="106">
        <f>8*F208</f>
        <v>8.32</v>
      </c>
      <c r="E208" s="58"/>
      <c r="F208" s="1">
        <v>1.04</v>
      </c>
      <c r="H208" s="102"/>
      <c r="I208" s="102"/>
    </row>
    <row r="209" spans="1:9" s="20" customFormat="1" ht="33.75" customHeight="1" hidden="1">
      <c r="A209" s="34"/>
      <c r="B209" s="39" t="s">
        <v>139</v>
      </c>
      <c r="C209" s="34" t="s">
        <v>135</v>
      </c>
      <c r="D209" s="87">
        <f>15*F209</f>
        <v>15.600000000000001</v>
      </c>
      <c r="E209" s="58"/>
      <c r="F209" s="1">
        <v>1.04</v>
      </c>
      <c r="H209" s="102"/>
      <c r="I209" s="102"/>
    </row>
    <row r="210" spans="1:9" s="20" customFormat="1" ht="33.75" customHeight="1" hidden="1">
      <c r="A210" s="34"/>
      <c r="B210" s="39" t="s">
        <v>40</v>
      </c>
      <c r="C210" s="34" t="s">
        <v>135</v>
      </c>
      <c r="D210" s="87">
        <f>33*F210</f>
        <v>34.32</v>
      </c>
      <c r="E210" s="58"/>
      <c r="F210" s="1">
        <v>1.04</v>
      </c>
      <c r="H210" s="102"/>
      <c r="I210" s="102"/>
    </row>
    <row r="211" spans="1:6" ht="33.75" customHeight="1" hidden="1">
      <c r="A211" s="65" t="s">
        <v>308</v>
      </c>
      <c r="B211" s="66" t="s">
        <v>236</v>
      </c>
      <c r="C211" s="67"/>
      <c r="D211" s="67"/>
      <c r="F211" s="1">
        <v>1.04</v>
      </c>
    </row>
    <row r="212" spans="1:6" ht="33.75" customHeight="1" hidden="1">
      <c r="A212" s="93"/>
      <c r="B212" s="94" t="s">
        <v>237</v>
      </c>
      <c r="C212" s="95" t="s">
        <v>217</v>
      </c>
      <c r="D212" s="96">
        <v>627</v>
      </c>
      <c r="F212" s="1">
        <v>1.04</v>
      </c>
    </row>
    <row r="213" spans="1:6" ht="33.75" customHeight="1" hidden="1">
      <c r="A213" s="68"/>
      <c r="B213" s="22" t="s">
        <v>238</v>
      </c>
      <c r="C213" s="69" t="s">
        <v>217</v>
      </c>
      <c r="D213" s="64">
        <v>1253</v>
      </c>
      <c r="F213" s="1">
        <v>1.04</v>
      </c>
    </row>
    <row r="214" spans="1:6" ht="33.75" customHeight="1" hidden="1">
      <c r="A214" s="68"/>
      <c r="B214" s="22" t="s">
        <v>239</v>
      </c>
      <c r="C214" s="69" t="s">
        <v>217</v>
      </c>
      <c r="D214" s="64">
        <v>427</v>
      </c>
      <c r="F214" s="1">
        <v>1.04</v>
      </c>
    </row>
    <row r="215" spans="1:6" ht="33.75" customHeight="1" hidden="1">
      <c r="A215" s="68"/>
      <c r="B215" s="32" t="s">
        <v>240</v>
      </c>
      <c r="C215" s="70" t="s">
        <v>241</v>
      </c>
      <c r="D215" s="71">
        <f>79*F215</f>
        <v>82.16</v>
      </c>
      <c r="F215" s="1">
        <v>1.04</v>
      </c>
    </row>
    <row r="216" spans="1:6" ht="33.75" customHeight="1" hidden="1">
      <c r="A216" s="68"/>
      <c r="B216" s="22" t="s">
        <v>242</v>
      </c>
      <c r="C216" s="70" t="s">
        <v>241</v>
      </c>
      <c r="D216" s="70" t="s">
        <v>243</v>
      </c>
      <c r="F216" s="1">
        <v>1.04</v>
      </c>
    </row>
    <row r="217" spans="1:6" ht="33.75" customHeight="1" hidden="1">
      <c r="A217" s="68"/>
      <c r="B217" s="22" t="s">
        <v>244</v>
      </c>
      <c r="C217" s="70" t="s">
        <v>241</v>
      </c>
      <c r="D217" s="70" t="s">
        <v>245</v>
      </c>
      <c r="F217" s="1">
        <v>1.04</v>
      </c>
    </row>
    <row r="218" spans="1:6" ht="33.75" customHeight="1" hidden="1">
      <c r="A218" s="68"/>
      <c r="B218" s="22" t="s">
        <v>246</v>
      </c>
      <c r="C218" s="70" t="s">
        <v>241</v>
      </c>
      <c r="D218" s="70" t="s">
        <v>247</v>
      </c>
      <c r="F218" s="1">
        <v>1.04</v>
      </c>
    </row>
    <row r="219" spans="1:6" ht="33.75" customHeight="1" hidden="1">
      <c r="A219" s="68"/>
      <c r="B219" s="22" t="s">
        <v>248</v>
      </c>
      <c r="C219" s="70" t="s">
        <v>241</v>
      </c>
      <c r="D219" s="70" t="s">
        <v>249</v>
      </c>
      <c r="F219" s="1">
        <v>1.04</v>
      </c>
    </row>
    <row r="220" spans="1:6" ht="33.75" customHeight="1" hidden="1">
      <c r="A220" s="68"/>
      <c r="B220" s="22" t="s">
        <v>250</v>
      </c>
      <c r="C220" s="70" t="s">
        <v>241</v>
      </c>
      <c r="D220" s="70" t="s">
        <v>251</v>
      </c>
      <c r="F220" s="1">
        <v>1.04</v>
      </c>
    </row>
    <row r="221" spans="1:6" ht="33.75" customHeight="1" hidden="1">
      <c r="A221" s="68"/>
      <c r="B221" s="22" t="s">
        <v>252</v>
      </c>
      <c r="C221" s="70" t="s">
        <v>241</v>
      </c>
      <c r="D221" s="70" t="s">
        <v>253</v>
      </c>
      <c r="F221" s="1">
        <v>1.04</v>
      </c>
    </row>
    <row r="222" spans="1:6" ht="33.75" customHeight="1" hidden="1">
      <c r="A222" s="68"/>
      <c r="B222" s="22" t="s">
        <v>254</v>
      </c>
      <c r="C222" s="70" t="s">
        <v>241</v>
      </c>
      <c r="D222" s="70" t="s">
        <v>255</v>
      </c>
      <c r="F222" s="1">
        <v>1.04</v>
      </c>
    </row>
    <row r="223" spans="1:6" ht="33.75" customHeight="1" hidden="1">
      <c r="A223" s="68"/>
      <c r="B223" s="22" t="s">
        <v>256</v>
      </c>
      <c r="C223" s="70" t="s">
        <v>241</v>
      </c>
      <c r="D223" s="70" t="s">
        <v>257</v>
      </c>
      <c r="F223" s="1">
        <v>1.04</v>
      </c>
    </row>
    <row r="224" spans="1:6" ht="33.75" customHeight="1" hidden="1">
      <c r="A224" s="68"/>
      <c r="B224" s="22" t="s">
        <v>258</v>
      </c>
      <c r="C224" s="70" t="s">
        <v>241</v>
      </c>
      <c r="D224" s="70" t="s">
        <v>259</v>
      </c>
      <c r="F224" s="1">
        <v>1.04</v>
      </c>
    </row>
    <row r="225" spans="1:6" ht="33.75" customHeight="1" hidden="1">
      <c r="A225" s="68"/>
      <c r="B225" s="72" t="s">
        <v>260</v>
      </c>
      <c r="C225" s="70" t="s">
        <v>241</v>
      </c>
      <c r="D225" s="103">
        <f>66*F225</f>
        <v>68.64</v>
      </c>
      <c r="F225" s="1">
        <v>1.04</v>
      </c>
    </row>
    <row r="226" spans="1:6" ht="33.75" customHeight="1" hidden="1">
      <c r="A226" s="65" t="s">
        <v>320</v>
      </c>
      <c r="B226" s="66" t="s">
        <v>261</v>
      </c>
      <c r="C226" s="67"/>
      <c r="D226" s="67"/>
      <c r="F226" s="1">
        <v>1.04</v>
      </c>
    </row>
    <row r="227" spans="1:6" ht="33.75" customHeight="1" hidden="1">
      <c r="A227" s="68"/>
      <c r="B227" s="73" t="s">
        <v>262</v>
      </c>
      <c r="C227" s="70" t="s">
        <v>120</v>
      </c>
      <c r="D227" s="71">
        <v>49147</v>
      </c>
      <c r="F227" s="1">
        <v>1.04</v>
      </c>
    </row>
    <row r="228" spans="1:9" ht="41.25" customHeight="1" hidden="1">
      <c r="A228" s="68"/>
      <c r="B228" s="74" t="s">
        <v>263</v>
      </c>
      <c r="C228" s="69" t="s">
        <v>120</v>
      </c>
      <c r="D228" s="69" t="s">
        <v>376</v>
      </c>
      <c r="F228" s="1">
        <v>1.04</v>
      </c>
      <c r="H228" s="100">
        <f>1606*1.04</f>
        <v>1670.24</v>
      </c>
      <c r="I228" s="100">
        <f>3248*1.04</f>
        <v>3377.92</v>
      </c>
    </row>
    <row r="229" spans="1:6" ht="33.75" customHeight="1" hidden="1">
      <c r="A229" s="68"/>
      <c r="B229" s="74" t="s">
        <v>264</v>
      </c>
      <c r="C229" s="69" t="s">
        <v>120</v>
      </c>
      <c r="D229" s="64">
        <v>91303</v>
      </c>
      <c r="F229" s="1">
        <v>1.04</v>
      </c>
    </row>
    <row r="230" spans="1:6" ht="33.75" customHeight="1" hidden="1">
      <c r="A230" s="68"/>
      <c r="B230" s="74" t="s">
        <v>265</v>
      </c>
      <c r="C230" s="69" t="s">
        <v>120</v>
      </c>
      <c r="D230" s="64">
        <v>46057</v>
      </c>
      <c r="F230" s="1">
        <v>1.04</v>
      </c>
    </row>
    <row r="231" spans="1:6" ht="33.75" customHeight="1" hidden="1">
      <c r="A231" s="68"/>
      <c r="B231" s="74" t="s">
        <v>266</v>
      </c>
      <c r="C231" s="69" t="s">
        <v>120</v>
      </c>
      <c r="D231" s="64">
        <v>30975</v>
      </c>
      <c r="F231" s="1">
        <v>1.04</v>
      </c>
    </row>
    <row r="232" spans="1:6" ht="40.5" customHeight="1" hidden="1">
      <c r="A232" s="68"/>
      <c r="B232" s="75" t="s">
        <v>359</v>
      </c>
      <c r="C232" s="69" t="s">
        <v>120</v>
      </c>
      <c r="D232" s="105">
        <f>2189*F232</f>
        <v>2276.56</v>
      </c>
      <c r="F232" s="1">
        <v>1.04</v>
      </c>
    </row>
    <row r="233" spans="1:6" ht="40.5" customHeight="1" hidden="1">
      <c r="A233" s="68"/>
      <c r="B233" s="75" t="s">
        <v>358</v>
      </c>
      <c r="C233" s="69" t="s">
        <v>120</v>
      </c>
      <c r="D233" s="105">
        <f>3204*F233</f>
        <v>3332.1600000000003</v>
      </c>
      <c r="F233" s="1">
        <v>1.04</v>
      </c>
    </row>
    <row r="234" spans="1:6" ht="43.5" customHeight="1" hidden="1">
      <c r="A234" s="68"/>
      <c r="B234" s="22" t="s">
        <v>357</v>
      </c>
      <c r="C234" s="69" t="s">
        <v>120</v>
      </c>
      <c r="D234" s="105">
        <f>1220*F234</f>
        <v>1268.8</v>
      </c>
      <c r="F234" s="1">
        <v>1.04</v>
      </c>
    </row>
    <row r="235" spans="1:6" ht="33.75" customHeight="1" hidden="1">
      <c r="A235" s="68"/>
      <c r="B235" s="22" t="s">
        <v>391</v>
      </c>
      <c r="C235" s="69" t="s">
        <v>120</v>
      </c>
      <c r="D235" s="105">
        <f>1912*F235</f>
        <v>1988.48</v>
      </c>
      <c r="F235" s="1">
        <v>1.04</v>
      </c>
    </row>
    <row r="236" spans="1:6" ht="33.75" customHeight="1" hidden="1">
      <c r="A236" s="65" t="s">
        <v>331</v>
      </c>
      <c r="B236" s="66" t="s">
        <v>267</v>
      </c>
      <c r="C236" s="67"/>
      <c r="D236" s="67"/>
      <c r="F236" s="1">
        <v>1.04</v>
      </c>
    </row>
    <row r="237" spans="1:6" ht="33.75" customHeight="1" hidden="1">
      <c r="A237" s="68"/>
      <c r="B237" s="22" t="s">
        <v>268</v>
      </c>
      <c r="C237" s="23" t="s">
        <v>241</v>
      </c>
      <c r="D237" s="23">
        <v>3</v>
      </c>
      <c r="F237" s="1">
        <v>1.04</v>
      </c>
    </row>
    <row r="238" spans="1:6" ht="33.75" customHeight="1" hidden="1">
      <c r="A238" s="68"/>
      <c r="B238" s="22" t="s">
        <v>269</v>
      </c>
      <c r="C238" s="23" t="s">
        <v>241</v>
      </c>
      <c r="D238" s="23">
        <v>6</v>
      </c>
      <c r="F238" s="1">
        <v>1.04</v>
      </c>
    </row>
    <row r="239" spans="1:6" ht="33.75" customHeight="1" hidden="1">
      <c r="A239" s="68"/>
      <c r="B239" s="22" t="s">
        <v>270</v>
      </c>
      <c r="C239" s="23" t="s">
        <v>241</v>
      </c>
      <c r="D239" s="23">
        <v>6</v>
      </c>
      <c r="F239" s="1">
        <v>1.04</v>
      </c>
    </row>
    <row r="240" spans="1:6" ht="33.75" customHeight="1" hidden="1">
      <c r="A240" s="68"/>
      <c r="B240" s="22" t="s">
        <v>271</v>
      </c>
      <c r="C240" s="23" t="s">
        <v>241</v>
      </c>
      <c r="D240" s="23">
        <v>13</v>
      </c>
      <c r="F240" s="1">
        <v>1.04</v>
      </c>
    </row>
    <row r="241" spans="1:6" ht="33.75" customHeight="1" hidden="1">
      <c r="A241" s="68"/>
      <c r="B241" s="22" t="s">
        <v>360</v>
      </c>
      <c r="C241" s="23" t="s">
        <v>241</v>
      </c>
      <c r="D241" s="105">
        <f>4*F241</f>
        <v>4.16</v>
      </c>
      <c r="F241" s="1">
        <v>1.04</v>
      </c>
    </row>
    <row r="242" spans="1:6" ht="33.75" customHeight="1" hidden="1">
      <c r="A242" s="68"/>
      <c r="B242" s="22" t="s">
        <v>361</v>
      </c>
      <c r="C242" s="23" t="s">
        <v>241</v>
      </c>
      <c r="D242" s="105">
        <f>7*F242</f>
        <v>7.28</v>
      </c>
      <c r="F242" s="1">
        <v>1.04</v>
      </c>
    </row>
    <row r="243" spans="1:6" ht="33.75" customHeight="1" hidden="1">
      <c r="A243" s="68"/>
      <c r="B243" s="22" t="s">
        <v>362</v>
      </c>
      <c r="C243" s="23" t="s">
        <v>241</v>
      </c>
      <c r="D243" s="105">
        <f>7*F243</f>
        <v>7.28</v>
      </c>
      <c r="F243" s="1">
        <v>1.04</v>
      </c>
    </row>
    <row r="244" spans="1:6" ht="33.75" customHeight="1" hidden="1">
      <c r="A244" s="68"/>
      <c r="B244" s="22" t="s">
        <v>363</v>
      </c>
      <c r="C244" s="23" t="s">
        <v>241</v>
      </c>
      <c r="D244" s="105">
        <f>14*F244</f>
        <v>14.56</v>
      </c>
      <c r="F244" s="1">
        <v>1.04</v>
      </c>
    </row>
    <row r="245" spans="1:6" ht="33.75" customHeight="1" hidden="1">
      <c r="A245" s="68"/>
      <c r="B245" s="22" t="s">
        <v>272</v>
      </c>
      <c r="C245" s="23" t="s">
        <v>241</v>
      </c>
      <c r="D245" s="23">
        <v>7</v>
      </c>
      <c r="F245" s="1">
        <v>1.04</v>
      </c>
    </row>
    <row r="246" spans="1:6" ht="33.75" customHeight="1" hidden="1">
      <c r="A246" s="68"/>
      <c r="B246" s="22" t="s">
        <v>273</v>
      </c>
      <c r="C246" s="23" t="s">
        <v>241</v>
      </c>
      <c r="D246" s="23">
        <v>9</v>
      </c>
      <c r="F246" s="1">
        <v>1.04</v>
      </c>
    </row>
    <row r="247" spans="1:6" ht="33.75" customHeight="1" hidden="1">
      <c r="A247" s="68"/>
      <c r="B247" s="22" t="s">
        <v>274</v>
      </c>
      <c r="C247" s="23" t="s">
        <v>241</v>
      </c>
      <c r="D247" s="23">
        <v>14</v>
      </c>
      <c r="F247" s="1">
        <v>1.04</v>
      </c>
    </row>
    <row r="248" spans="1:6" ht="33.75" customHeight="1" hidden="1">
      <c r="A248" s="68"/>
      <c r="B248" s="22" t="s">
        <v>275</v>
      </c>
      <c r="C248" s="23" t="s">
        <v>241</v>
      </c>
      <c r="D248" s="23">
        <v>18</v>
      </c>
      <c r="F248" s="1">
        <v>1.04</v>
      </c>
    </row>
    <row r="249" spans="1:6" ht="33.75" customHeight="1" hidden="1">
      <c r="A249" s="68"/>
      <c r="B249" s="22" t="s">
        <v>276</v>
      </c>
      <c r="C249" s="23" t="s">
        <v>241</v>
      </c>
      <c r="D249" s="23">
        <v>4</v>
      </c>
      <c r="F249" s="1">
        <v>1.04</v>
      </c>
    </row>
    <row r="250" spans="1:6" ht="33.75" customHeight="1" hidden="1">
      <c r="A250" s="68"/>
      <c r="B250" s="22" t="s">
        <v>277</v>
      </c>
      <c r="C250" s="23" t="s">
        <v>241</v>
      </c>
      <c r="D250" s="23">
        <v>7</v>
      </c>
      <c r="F250" s="1">
        <v>1.04</v>
      </c>
    </row>
    <row r="251" spans="1:6" ht="33.75" customHeight="1" hidden="1">
      <c r="A251" s="68"/>
      <c r="B251" s="22" t="s">
        <v>366</v>
      </c>
      <c r="C251" s="23" t="s">
        <v>241</v>
      </c>
      <c r="D251" s="104">
        <f>1.7*F251</f>
        <v>1.768</v>
      </c>
      <c r="F251" s="1">
        <v>1.04</v>
      </c>
    </row>
    <row r="252" spans="1:6" ht="33.75" customHeight="1" hidden="1">
      <c r="A252" s="68"/>
      <c r="B252" s="22" t="s">
        <v>367</v>
      </c>
      <c r="C252" s="23" t="s">
        <v>241</v>
      </c>
      <c r="D252" s="23">
        <f>2.5*F252</f>
        <v>2.6</v>
      </c>
      <c r="F252" s="1">
        <v>1.04</v>
      </c>
    </row>
    <row r="253" spans="1:6" ht="33.75" customHeight="1" hidden="1">
      <c r="A253" s="68"/>
      <c r="B253" s="22" t="s">
        <v>364</v>
      </c>
      <c r="C253" s="23" t="s">
        <v>241</v>
      </c>
      <c r="D253" s="105">
        <f>4*F253</f>
        <v>4.16</v>
      </c>
      <c r="F253" s="1">
        <v>1.04</v>
      </c>
    </row>
    <row r="254" spans="1:6" ht="33.75" customHeight="1" hidden="1">
      <c r="A254" s="68"/>
      <c r="B254" s="22" t="s">
        <v>365</v>
      </c>
      <c r="C254" s="23" t="s">
        <v>241</v>
      </c>
      <c r="D254" s="105">
        <f>8*F254</f>
        <v>8.32</v>
      </c>
      <c r="F254" s="1">
        <v>1.04</v>
      </c>
    </row>
    <row r="255" spans="1:6" ht="33.75" customHeight="1" hidden="1">
      <c r="A255" s="68"/>
      <c r="B255" s="22" t="s">
        <v>278</v>
      </c>
      <c r="C255" s="23" t="s">
        <v>241</v>
      </c>
      <c r="D255" s="23">
        <v>4</v>
      </c>
      <c r="F255" s="1">
        <v>1.04</v>
      </c>
    </row>
    <row r="256" spans="1:6" ht="33.75" customHeight="1" hidden="1">
      <c r="A256" s="68"/>
      <c r="B256" s="22" t="s">
        <v>279</v>
      </c>
      <c r="C256" s="23" t="s">
        <v>241</v>
      </c>
      <c r="D256" s="23">
        <v>8</v>
      </c>
      <c r="F256" s="1">
        <v>1.04</v>
      </c>
    </row>
    <row r="257" spans="1:6" ht="33.75" customHeight="1" hidden="1">
      <c r="A257" s="68"/>
      <c r="B257" s="22" t="s">
        <v>280</v>
      </c>
      <c r="C257" s="23" t="s">
        <v>241</v>
      </c>
      <c r="D257" s="105">
        <f>7*F257</f>
        <v>7.28</v>
      </c>
      <c r="F257" s="1">
        <v>1.04</v>
      </c>
    </row>
    <row r="258" spans="1:6" ht="33.75" customHeight="1" hidden="1">
      <c r="A258" s="68"/>
      <c r="B258" s="22" t="s">
        <v>281</v>
      </c>
      <c r="C258" s="23" t="s">
        <v>241</v>
      </c>
      <c r="D258" s="105">
        <f>336*F258</f>
        <v>349.44</v>
      </c>
      <c r="F258" s="1">
        <v>1.04</v>
      </c>
    </row>
    <row r="259" spans="1:6" ht="33.75" customHeight="1" hidden="1">
      <c r="A259" s="68"/>
      <c r="B259" s="22" t="s">
        <v>282</v>
      </c>
      <c r="C259" s="23" t="s">
        <v>241</v>
      </c>
      <c r="D259" s="23">
        <v>2</v>
      </c>
      <c r="F259" s="1">
        <v>1.04</v>
      </c>
    </row>
    <row r="260" spans="1:6" ht="33.75" customHeight="1" hidden="1">
      <c r="A260" s="68"/>
      <c r="B260" s="22" t="s">
        <v>283</v>
      </c>
      <c r="C260" s="23" t="s">
        <v>241</v>
      </c>
      <c r="D260" s="23">
        <v>4</v>
      </c>
      <c r="F260" s="1">
        <v>1.04</v>
      </c>
    </row>
    <row r="261" spans="1:6" ht="33.75" customHeight="1" hidden="1">
      <c r="A261" s="68"/>
      <c r="B261" s="22" t="s">
        <v>284</v>
      </c>
      <c r="C261" s="23" t="s">
        <v>241</v>
      </c>
      <c r="D261" s="23">
        <v>2059</v>
      </c>
      <c r="F261" s="1">
        <v>1.04</v>
      </c>
    </row>
    <row r="262" spans="1:6" ht="33.75" customHeight="1" hidden="1">
      <c r="A262" s="97"/>
      <c r="B262" s="39" t="s">
        <v>285</v>
      </c>
      <c r="C262" s="34" t="s">
        <v>241</v>
      </c>
      <c r="D262" s="107">
        <f>0.2*F262</f>
        <v>0.20800000000000002</v>
      </c>
      <c r="F262" s="1">
        <v>1.04</v>
      </c>
    </row>
    <row r="263" spans="1:6" ht="33.75" customHeight="1">
      <c r="A263" s="65" t="s">
        <v>141</v>
      </c>
      <c r="B263" s="65" t="s">
        <v>286</v>
      </c>
      <c r="C263" s="65"/>
      <c r="D263" s="65"/>
      <c r="F263" s="1">
        <v>1.04</v>
      </c>
    </row>
    <row r="264" spans="1:4" ht="141.75" customHeight="1">
      <c r="A264" s="82"/>
      <c r="B264" s="36" t="s">
        <v>392</v>
      </c>
      <c r="C264" s="34" t="s">
        <v>241</v>
      </c>
      <c r="D264" s="43">
        <v>33</v>
      </c>
    </row>
    <row r="265" spans="1:7" ht="33.75" customHeight="1" hidden="1">
      <c r="A265" s="40"/>
      <c r="B265" s="15" t="s">
        <v>287</v>
      </c>
      <c r="C265" s="23" t="s">
        <v>241</v>
      </c>
      <c r="D265" s="43">
        <f>75*G265</f>
        <v>78</v>
      </c>
      <c r="F265" s="1" t="s">
        <v>353</v>
      </c>
      <c r="G265" s="1">
        <v>1.04</v>
      </c>
    </row>
    <row r="266" spans="1:6" ht="33.75" customHeight="1" hidden="1">
      <c r="A266" s="40"/>
      <c r="B266" s="15" t="s">
        <v>288</v>
      </c>
      <c r="C266" s="23" t="s">
        <v>241</v>
      </c>
      <c r="D266" s="43">
        <f>150</f>
        <v>150</v>
      </c>
      <c r="F266" s="1" t="s">
        <v>354</v>
      </c>
    </row>
    <row r="267" spans="1:6" ht="33.75" customHeight="1" hidden="1">
      <c r="A267" s="40"/>
      <c r="B267" s="15" t="s">
        <v>289</v>
      </c>
      <c r="C267" s="23" t="s">
        <v>241</v>
      </c>
      <c r="D267" s="43">
        <f>150</f>
        <v>150</v>
      </c>
      <c r="F267" s="1" t="s">
        <v>354</v>
      </c>
    </row>
    <row r="268" spans="1:7" ht="33.75" customHeight="1" hidden="1">
      <c r="A268" s="40"/>
      <c r="B268" s="15" t="s">
        <v>290</v>
      </c>
      <c r="C268" s="23" t="s">
        <v>241</v>
      </c>
      <c r="D268" s="43">
        <f>150*G268</f>
        <v>156</v>
      </c>
      <c r="F268" s="1" t="s">
        <v>353</v>
      </c>
      <c r="G268" s="1">
        <v>1.04</v>
      </c>
    </row>
    <row r="269" spans="1:7" ht="33.75" customHeight="1" hidden="1">
      <c r="A269" s="40"/>
      <c r="B269" s="15" t="s">
        <v>291</v>
      </c>
      <c r="C269" s="23" t="s">
        <v>241</v>
      </c>
      <c r="D269" s="43">
        <f>150*G269</f>
        <v>156</v>
      </c>
      <c r="F269" s="1" t="s">
        <v>353</v>
      </c>
      <c r="G269" s="1">
        <v>1.04</v>
      </c>
    </row>
    <row r="270" spans="1:7" ht="33.75" customHeight="1" hidden="1">
      <c r="A270" s="40"/>
      <c r="B270" s="15" t="s">
        <v>292</v>
      </c>
      <c r="C270" s="23" t="s">
        <v>241</v>
      </c>
      <c r="D270" s="43">
        <f>100*G270</f>
        <v>104</v>
      </c>
      <c r="F270" s="1" t="s">
        <v>353</v>
      </c>
      <c r="G270" s="1">
        <v>1.04</v>
      </c>
    </row>
    <row r="271" spans="1:7" ht="33.75" customHeight="1" hidden="1">
      <c r="A271" s="40"/>
      <c r="B271" s="15" t="s">
        <v>293</v>
      </c>
      <c r="C271" s="23" t="s">
        <v>241</v>
      </c>
      <c r="D271" s="43">
        <f>75*G271</f>
        <v>78</v>
      </c>
      <c r="F271" s="1">
        <v>9</v>
      </c>
      <c r="G271" s="1">
        <v>1.04</v>
      </c>
    </row>
    <row r="272" spans="1:6" ht="33.75" customHeight="1" hidden="1">
      <c r="A272" s="40"/>
      <c r="B272" s="15" t="s">
        <v>347</v>
      </c>
      <c r="C272" s="23" t="s">
        <v>241</v>
      </c>
      <c r="D272" s="43">
        <f>150</f>
        <v>150</v>
      </c>
      <c r="F272" s="1" t="s">
        <v>352</v>
      </c>
    </row>
    <row r="273" spans="1:7" ht="33.75" customHeight="1" hidden="1">
      <c r="A273" s="40"/>
      <c r="B273" s="15" t="s">
        <v>294</v>
      </c>
      <c r="C273" s="23" t="s">
        <v>241</v>
      </c>
      <c r="D273" s="43">
        <f>75*G273</f>
        <v>78</v>
      </c>
      <c r="F273" s="1">
        <v>9</v>
      </c>
      <c r="G273" s="1">
        <v>1.04</v>
      </c>
    </row>
    <row r="274" spans="1:7" ht="33.75" customHeight="1" hidden="1">
      <c r="A274" s="40"/>
      <c r="B274" s="15" t="s">
        <v>295</v>
      </c>
      <c r="C274" s="23" t="s">
        <v>241</v>
      </c>
      <c r="D274" s="43">
        <f>75*G274</f>
        <v>78</v>
      </c>
      <c r="F274" s="1">
        <v>9</v>
      </c>
      <c r="G274" s="1">
        <v>1.04</v>
      </c>
    </row>
    <row r="275" spans="1:7" ht="33.75" customHeight="1" hidden="1">
      <c r="A275" s="40"/>
      <c r="B275" s="15" t="s">
        <v>296</v>
      </c>
      <c r="C275" s="23" t="s">
        <v>241</v>
      </c>
      <c r="D275" s="43">
        <f>75*G275</f>
        <v>78</v>
      </c>
      <c r="F275" s="1">
        <v>9</v>
      </c>
      <c r="G275" s="1">
        <v>1.04</v>
      </c>
    </row>
    <row r="276" spans="1:7" ht="33.75" customHeight="1" hidden="1">
      <c r="A276" s="40"/>
      <c r="B276" s="15" t="s">
        <v>350</v>
      </c>
      <c r="C276" s="23" t="s">
        <v>241</v>
      </c>
      <c r="D276" s="108">
        <f>80*G276</f>
        <v>83.2</v>
      </c>
      <c r="F276" s="1" t="s">
        <v>346</v>
      </c>
      <c r="G276" s="1">
        <v>1.04</v>
      </c>
    </row>
    <row r="277" spans="1:7" ht="33.75" customHeight="1" hidden="1">
      <c r="A277" s="40"/>
      <c r="B277" s="15" t="s">
        <v>351</v>
      </c>
      <c r="C277" s="23" t="s">
        <v>241</v>
      </c>
      <c r="D277" s="108">
        <f>180*G277</f>
        <v>187.20000000000002</v>
      </c>
      <c r="F277" s="1" t="s">
        <v>346</v>
      </c>
      <c r="G277" s="1">
        <v>1.04</v>
      </c>
    </row>
    <row r="278" spans="1:6" ht="33.75" customHeight="1" hidden="1">
      <c r="A278" s="40"/>
      <c r="B278" s="15" t="s">
        <v>348</v>
      </c>
      <c r="C278" s="23" t="s">
        <v>241</v>
      </c>
      <c r="D278" s="87">
        <f>150</f>
        <v>150</v>
      </c>
      <c r="F278" s="1" t="s">
        <v>346</v>
      </c>
    </row>
    <row r="279" spans="1:7" ht="33.75" customHeight="1" hidden="1">
      <c r="A279" s="40"/>
      <c r="B279" s="15" t="s">
        <v>349</v>
      </c>
      <c r="C279" s="23" t="s">
        <v>241</v>
      </c>
      <c r="D279" s="87">
        <f>100*G279</f>
        <v>104</v>
      </c>
      <c r="F279" s="1" t="s">
        <v>346</v>
      </c>
      <c r="G279" s="1">
        <v>1.04</v>
      </c>
    </row>
    <row r="280" spans="1:6" ht="33.75" customHeight="1" hidden="1">
      <c r="A280" s="40"/>
      <c r="B280" s="15" t="s">
        <v>297</v>
      </c>
      <c r="C280" s="23" t="s">
        <v>241</v>
      </c>
      <c r="D280" s="87">
        <f>1500</f>
        <v>1500</v>
      </c>
      <c r="F280" s="1" t="s">
        <v>346</v>
      </c>
    </row>
    <row r="281" spans="1:7" ht="33.75" customHeight="1" hidden="1">
      <c r="A281" s="40"/>
      <c r="B281" s="15" t="s">
        <v>298</v>
      </c>
      <c r="C281" s="23" t="s">
        <v>241</v>
      </c>
      <c r="D281" s="87">
        <f>1000</f>
        <v>1000</v>
      </c>
      <c r="F281" s="1" t="s">
        <v>346</v>
      </c>
      <c r="G281" s="1">
        <v>1.04</v>
      </c>
    </row>
    <row r="282" spans="1:7" ht="33.75" customHeight="1">
      <c r="A282" s="65" t="s">
        <v>142</v>
      </c>
      <c r="B282" s="66" t="s">
        <v>299</v>
      </c>
      <c r="C282" s="67"/>
      <c r="D282" s="109"/>
      <c r="G282" s="1">
        <v>1.04</v>
      </c>
    </row>
    <row r="283" spans="1:7" ht="33.75" customHeight="1" hidden="1">
      <c r="A283" s="40"/>
      <c r="B283" s="76" t="s">
        <v>300</v>
      </c>
      <c r="C283" s="41" t="s">
        <v>301</v>
      </c>
      <c r="D283" s="87">
        <f>27*G283</f>
        <v>28.080000000000002</v>
      </c>
      <c r="F283" s="1" t="s">
        <v>355</v>
      </c>
      <c r="G283" s="1">
        <v>1.04</v>
      </c>
    </row>
    <row r="284" spans="1:7" ht="33.75" customHeight="1" hidden="1">
      <c r="A284" s="40"/>
      <c r="B284" s="76" t="s">
        <v>390</v>
      </c>
      <c r="C284" s="41" t="s">
        <v>301</v>
      </c>
      <c r="D284" s="87">
        <f>57*G284</f>
        <v>59.28</v>
      </c>
      <c r="F284" s="1" t="s">
        <v>355</v>
      </c>
      <c r="G284" s="1">
        <v>1.04</v>
      </c>
    </row>
    <row r="285" spans="1:7" ht="33.75" customHeight="1" hidden="1">
      <c r="A285" s="40"/>
      <c r="B285" s="76" t="s">
        <v>302</v>
      </c>
      <c r="C285" s="41" t="s">
        <v>301</v>
      </c>
      <c r="D285" s="87">
        <f>52*G285</f>
        <v>54.08</v>
      </c>
      <c r="F285" s="1" t="s">
        <v>355</v>
      </c>
      <c r="G285" s="1">
        <v>1.04</v>
      </c>
    </row>
    <row r="286" spans="1:7" ht="33.75" customHeight="1">
      <c r="A286" s="82"/>
      <c r="B286" s="76" t="s">
        <v>393</v>
      </c>
      <c r="C286" s="43" t="s">
        <v>301</v>
      </c>
      <c r="D286" s="87">
        <f>47*G286+1.12</f>
        <v>50</v>
      </c>
      <c r="F286" s="1" t="s">
        <v>355</v>
      </c>
      <c r="G286" s="1">
        <v>1.04</v>
      </c>
    </row>
    <row r="287" spans="1:7" ht="33.75" customHeight="1" hidden="1">
      <c r="A287" s="40"/>
      <c r="B287" s="76" t="s">
        <v>303</v>
      </c>
      <c r="C287" s="41" t="s">
        <v>301</v>
      </c>
      <c r="D287" s="87">
        <f>37*G287</f>
        <v>38.480000000000004</v>
      </c>
      <c r="F287" s="1" t="s">
        <v>355</v>
      </c>
      <c r="G287" s="1">
        <v>1.04</v>
      </c>
    </row>
    <row r="288" spans="1:7" ht="33.75" customHeight="1" hidden="1">
      <c r="A288" s="40"/>
      <c r="B288" s="76" t="s">
        <v>304</v>
      </c>
      <c r="C288" s="41" t="s">
        <v>301</v>
      </c>
      <c r="D288" s="87">
        <f>33*G288</f>
        <v>34.32</v>
      </c>
      <c r="F288" s="1" t="s">
        <v>355</v>
      </c>
      <c r="G288" s="1">
        <v>1.04</v>
      </c>
    </row>
    <row r="289" spans="1:7" ht="33.75" customHeight="1" hidden="1">
      <c r="A289" s="40"/>
      <c r="B289" s="76" t="s">
        <v>305</v>
      </c>
      <c r="C289" s="41" t="s">
        <v>301</v>
      </c>
      <c r="D289" s="87">
        <f>30*G289</f>
        <v>31.200000000000003</v>
      </c>
      <c r="F289" s="1" t="s">
        <v>355</v>
      </c>
      <c r="G289" s="1">
        <v>1.04</v>
      </c>
    </row>
    <row r="290" spans="1:7" ht="33.75" customHeight="1" hidden="1">
      <c r="A290" s="40"/>
      <c r="B290" s="76" t="s">
        <v>306</v>
      </c>
      <c r="C290" s="41" t="s">
        <v>301</v>
      </c>
      <c r="D290" s="87">
        <f>44*G290+4</f>
        <v>49.760000000000005</v>
      </c>
      <c r="F290" s="1" t="s">
        <v>355</v>
      </c>
      <c r="G290" s="1">
        <v>1.04</v>
      </c>
    </row>
    <row r="291" spans="1:7" ht="33.75" customHeight="1" hidden="1">
      <c r="A291" s="40"/>
      <c r="B291" s="77" t="s">
        <v>307</v>
      </c>
      <c r="C291" s="41" t="s">
        <v>301</v>
      </c>
      <c r="D291" s="87">
        <f>35*G291+2</f>
        <v>38.4</v>
      </c>
      <c r="F291" s="1" t="s">
        <v>355</v>
      </c>
      <c r="G291" s="1">
        <v>1.04</v>
      </c>
    </row>
    <row r="292" spans="1:7" ht="33.75" customHeight="1" hidden="1">
      <c r="A292" s="78" t="s">
        <v>342</v>
      </c>
      <c r="B292" s="78" t="s">
        <v>309</v>
      </c>
      <c r="C292" s="79"/>
      <c r="D292" s="109"/>
      <c r="G292" s="1">
        <v>1.04</v>
      </c>
    </row>
    <row r="293" spans="1:7" ht="33.75" customHeight="1" hidden="1">
      <c r="A293" s="40"/>
      <c r="B293" s="80" t="s">
        <v>310</v>
      </c>
      <c r="C293" s="81"/>
      <c r="D293" s="88"/>
      <c r="G293" s="1">
        <v>1.04</v>
      </c>
    </row>
    <row r="294" spans="1:7" ht="33.75" customHeight="1" hidden="1">
      <c r="A294" s="40"/>
      <c r="B294" s="82" t="s">
        <v>311</v>
      </c>
      <c r="C294" s="35" t="s">
        <v>301</v>
      </c>
      <c r="D294" s="87">
        <f aca="true" t="shared" si="1" ref="D294:D302">55*G294</f>
        <v>57.2</v>
      </c>
      <c r="F294" s="1" t="s">
        <v>356</v>
      </c>
      <c r="G294" s="1">
        <v>1.04</v>
      </c>
    </row>
    <row r="295" spans="1:7" ht="33.75" customHeight="1" hidden="1">
      <c r="A295" s="40"/>
      <c r="B295" s="82" t="s">
        <v>312</v>
      </c>
      <c r="C295" s="35" t="s">
        <v>301</v>
      </c>
      <c r="D295" s="87">
        <f t="shared" si="1"/>
        <v>57.2</v>
      </c>
      <c r="F295" s="1" t="s">
        <v>356</v>
      </c>
      <c r="G295" s="1">
        <v>1.04</v>
      </c>
    </row>
    <row r="296" spans="1:7" ht="33.75" customHeight="1" hidden="1">
      <c r="A296" s="40"/>
      <c r="B296" s="82" t="s">
        <v>313</v>
      </c>
      <c r="C296" s="35" t="s">
        <v>301</v>
      </c>
      <c r="D296" s="87">
        <f t="shared" si="1"/>
        <v>57.2</v>
      </c>
      <c r="F296" s="1" t="s">
        <v>356</v>
      </c>
      <c r="G296" s="1">
        <v>1.04</v>
      </c>
    </row>
    <row r="297" spans="1:7" ht="33.75" customHeight="1" hidden="1">
      <c r="A297" s="40"/>
      <c r="B297" s="82" t="s">
        <v>314</v>
      </c>
      <c r="C297" s="35" t="s">
        <v>301</v>
      </c>
      <c r="D297" s="87">
        <f t="shared" si="1"/>
        <v>57.2</v>
      </c>
      <c r="F297" s="1" t="s">
        <v>356</v>
      </c>
      <c r="G297" s="1">
        <v>1.04</v>
      </c>
    </row>
    <row r="298" spans="1:7" ht="33.75" customHeight="1" hidden="1">
      <c r="A298" s="40"/>
      <c r="B298" s="82" t="s">
        <v>315</v>
      </c>
      <c r="C298" s="35" t="s">
        <v>301</v>
      </c>
      <c r="D298" s="87">
        <f t="shared" si="1"/>
        <v>57.2</v>
      </c>
      <c r="F298" s="1" t="s">
        <v>356</v>
      </c>
      <c r="G298" s="1">
        <v>1.04</v>
      </c>
    </row>
    <row r="299" spans="1:7" ht="33.75" customHeight="1" hidden="1">
      <c r="A299" s="40"/>
      <c r="B299" s="82" t="s">
        <v>316</v>
      </c>
      <c r="C299" s="35" t="s">
        <v>301</v>
      </c>
      <c r="D299" s="87">
        <f t="shared" si="1"/>
        <v>57.2</v>
      </c>
      <c r="F299" s="1" t="s">
        <v>356</v>
      </c>
      <c r="G299" s="1">
        <v>1.04</v>
      </c>
    </row>
    <row r="300" spans="1:7" ht="33.75" customHeight="1" hidden="1">
      <c r="A300" s="40"/>
      <c r="B300" s="82" t="s">
        <v>317</v>
      </c>
      <c r="C300" s="35" t="s">
        <v>301</v>
      </c>
      <c r="D300" s="87">
        <f t="shared" si="1"/>
        <v>57.2</v>
      </c>
      <c r="F300" s="1" t="s">
        <v>356</v>
      </c>
      <c r="G300" s="1">
        <v>1.04</v>
      </c>
    </row>
    <row r="301" spans="1:7" ht="33.75" customHeight="1" hidden="1">
      <c r="A301" s="40"/>
      <c r="B301" s="82" t="s">
        <v>318</v>
      </c>
      <c r="C301" s="35" t="s">
        <v>301</v>
      </c>
      <c r="D301" s="87">
        <f t="shared" si="1"/>
        <v>57.2</v>
      </c>
      <c r="F301" s="1" t="s">
        <v>356</v>
      </c>
      <c r="G301" s="1">
        <v>1.04</v>
      </c>
    </row>
    <row r="302" spans="1:7" ht="33.75" customHeight="1" hidden="1">
      <c r="A302" s="40"/>
      <c r="B302" s="83" t="s">
        <v>319</v>
      </c>
      <c r="C302" s="35" t="s">
        <v>301</v>
      </c>
      <c r="D302" s="87">
        <f t="shared" si="1"/>
        <v>57.2</v>
      </c>
      <c r="F302" s="1" t="s">
        <v>356</v>
      </c>
      <c r="G302" s="1">
        <v>1.04</v>
      </c>
    </row>
    <row r="303" spans="1:7" ht="33.75" customHeight="1" hidden="1">
      <c r="A303" s="78" t="s">
        <v>343</v>
      </c>
      <c r="B303" s="78" t="s">
        <v>321</v>
      </c>
      <c r="C303" s="79"/>
      <c r="D303" s="109"/>
      <c r="F303" s="1" t="s">
        <v>356</v>
      </c>
      <c r="G303" s="1">
        <v>1.04</v>
      </c>
    </row>
    <row r="304" spans="1:7" ht="33.75" customHeight="1" hidden="1">
      <c r="A304" s="40"/>
      <c r="B304" s="40" t="s">
        <v>310</v>
      </c>
      <c r="C304" s="35"/>
      <c r="D304" s="88"/>
      <c r="F304" s="1" t="s">
        <v>356</v>
      </c>
      <c r="G304" s="1">
        <v>1.04</v>
      </c>
    </row>
    <row r="305" spans="1:7" ht="33.75" customHeight="1" hidden="1">
      <c r="A305" s="40"/>
      <c r="B305" s="82" t="s">
        <v>322</v>
      </c>
      <c r="C305" s="35" t="s">
        <v>301</v>
      </c>
      <c r="D305" s="87">
        <f aca="true" t="shared" si="2" ref="D305:D313">67*G305</f>
        <v>69.68</v>
      </c>
      <c r="F305" s="1" t="s">
        <v>356</v>
      </c>
      <c r="G305" s="1">
        <v>1.04</v>
      </c>
    </row>
    <row r="306" spans="1:7" ht="33.75" customHeight="1" hidden="1">
      <c r="A306" s="40"/>
      <c r="B306" s="84" t="s">
        <v>323</v>
      </c>
      <c r="C306" s="35" t="s">
        <v>301</v>
      </c>
      <c r="D306" s="87">
        <v>69</v>
      </c>
      <c r="F306" s="1" t="s">
        <v>356</v>
      </c>
      <c r="G306" s="1">
        <v>1.04</v>
      </c>
    </row>
    <row r="307" spans="1:7" ht="33.75" customHeight="1" hidden="1">
      <c r="A307" s="40"/>
      <c r="B307" s="84" t="s">
        <v>324</v>
      </c>
      <c r="C307" s="35" t="s">
        <v>301</v>
      </c>
      <c r="D307" s="87">
        <f t="shared" si="2"/>
        <v>69.68</v>
      </c>
      <c r="F307" s="1" t="s">
        <v>356</v>
      </c>
      <c r="G307" s="1">
        <v>1.04</v>
      </c>
    </row>
    <row r="308" spans="1:7" ht="33.75" customHeight="1" hidden="1">
      <c r="A308" s="40"/>
      <c r="B308" s="84" t="s">
        <v>325</v>
      </c>
      <c r="C308" s="35" t="s">
        <v>301</v>
      </c>
      <c r="D308" s="87">
        <f t="shared" si="2"/>
        <v>69.68</v>
      </c>
      <c r="F308" s="1" t="s">
        <v>356</v>
      </c>
      <c r="G308" s="1">
        <v>1.04</v>
      </c>
    </row>
    <row r="309" spans="1:7" ht="33.75" customHeight="1" hidden="1">
      <c r="A309" s="40"/>
      <c r="B309" s="84" t="s">
        <v>326</v>
      </c>
      <c r="C309" s="35" t="s">
        <v>301</v>
      </c>
      <c r="D309" s="87">
        <f t="shared" si="2"/>
        <v>69.68</v>
      </c>
      <c r="F309" s="1" t="s">
        <v>356</v>
      </c>
      <c r="G309" s="1">
        <v>1.04</v>
      </c>
    </row>
    <row r="310" spans="1:7" ht="33.75" customHeight="1" hidden="1">
      <c r="A310" s="40"/>
      <c r="B310" s="84" t="s">
        <v>327</v>
      </c>
      <c r="C310" s="35" t="s">
        <v>301</v>
      </c>
      <c r="D310" s="87">
        <f t="shared" si="2"/>
        <v>69.68</v>
      </c>
      <c r="F310" s="1" t="s">
        <v>356</v>
      </c>
      <c r="G310" s="1">
        <v>1.04</v>
      </c>
    </row>
    <row r="311" spans="1:7" ht="33.75" customHeight="1" hidden="1">
      <c r="A311" s="40"/>
      <c r="B311" s="84" t="s">
        <v>328</v>
      </c>
      <c r="C311" s="35" t="s">
        <v>301</v>
      </c>
      <c r="D311" s="87">
        <f t="shared" si="2"/>
        <v>69.68</v>
      </c>
      <c r="F311" s="1" t="s">
        <v>356</v>
      </c>
      <c r="G311" s="1">
        <v>1.04</v>
      </c>
    </row>
    <row r="312" spans="1:7" ht="33.75" customHeight="1" hidden="1">
      <c r="A312" s="40"/>
      <c r="B312" s="84" t="s">
        <v>329</v>
      </c>
      <c r="C312" s="35" t="s">
        <v>301</v>
      </c>
      <c r="D312" s="87">
        <f t="shared" si="2"/>
        <v>69.68</v>
      </c>
      <c r="F312" s="1" t="s">
        <v>356</v>
      </c>
      <c r="G312" s="1">
        <v>1.04</v>
      </c>
    </row>
    <row r="313" spans="1:7" ht="33.75" customHeight="1" hidden="1">
      <c r="A313" s="40"/>
      <c r="B313" s="84" t="s">
        <v>330</v>
      </c>
      <c r="C313" s="35" t="s">
        <v>301</v>
      </c>
      <c r="D313" s="87">
        <f t="shared" si="2"/>
        <v>69.68</v>
      </c>
      <c r="F313" s="1" t="s">
        <v>356</v>
      </c>
      <c r="G313" s="1">
        <v>1.04</v>
      </c>
    </row>
    <row r="314" spans="1:7" ht="33.75" customHeight="1" hidden="1">
      <c r="A314" s="78" t="s">
        <v>344</v>
      </c>
      <c r="B314" s="85" t="s">
        <v>332</v>
      </c>
      <c r="C314" s="79"/>
      <c r="D314" s="109"/>
      <c r="F314" s="1" t="s">
        <v>356</v>
      </c>
      <c r="G314" s="1">
        <v>1.04</v>
      </c>
    </row>
    <row r="315" spans="1:7" ht="33.75" customHeight="1" hidden="1">
      <c r="A315" s="40"/>
      <c r="B315" s="86" t="s">
        <v>310</v>
      </c>
      <c r="C315" s="81"/>
      <c r="D315" s="88"/>
      <c r="F315" s="1" t="s">
        <v>356</v>
      </c>
      <c r="G315" s="1">
        <v>1.04</v>
      </c>
    </row>
    <row r="316" spans="1:6" ht="33.75" customHeight="1" hidden="1">
      <c r="A316" s="40"/>
      <c r="B316" s="84" t="s">
        <v>333</v>
      </c>
      <c r="C316" s="35" t="s">
        <v>301</v>
      </c>
      <c r="D316" s="87">
        <f>81</f>
        <v>81</v>
      </c>
      <c r="F316" s="1" t="s">
        <v>356</v>
      </c>
    </row>
    <row r="317" spans="1:6" ht="33.75" customHeight="1" hidden="1">
      <c r="A317" s="40"/>
      <c r="B317" s="84" t="s">
        <v>334</v>
      </c>
      <c r="C317" s="35" t="s">
        <v>301</v>
      </c>
      <c r="D317" s="87">
        <f>81</f>
        <v>81</v>
      </c>
      <c r="F317" s="1" t="s">
        <v>356</v>
      </c>
    </row>
    <row r="318" spans="1:7" ht="33.75" customHeight="1" hidden="1">
      <c r="A318" s="40"/>
      <c r="B318" s="84" t="s">
        <v>335</v>
      </c>
      <c r="C318" s="35" t="s">
        <v>301</v>
      </c>
      <c r="D318" s="87">
        <f>81*G318</f>
        <v>84.24000000000001</v>
      </c>
      <c r="F318" s="1" t="s">
        <v>356</v>
      </c>
      <c r="G318" s="1">
        <v>1.04</v>
      </c>
    </row>
    <row r="319" spans="1:7" ht="33.75" customHeight="1" hidden="1">
      <c r="A319" s="40"/>
      <c r="B319" s="84" t="s">
        <v>336</v>
      </c>
      <c r="C319" s="35" t="s">
        <v>301</v>
      </c>
      <c r="D319" s="87">
        <f>81*G319</f>
        <v>84.24000000000001</v>
      </c>
      <c r="F319" s="1" t="s">
        <v>356</v>
      </c>
      <c r="G319" s="1">
        <v>1.04</v>
      </c>
    </row>
    <row r="320" spans="1:7" ht="33.75" customHeight="1" hidden="1">
      <c r="A320" s="78" t="s">
        <v>345</v>
      </c>
      <c r="B320" s="85" t="s">
        <v>338</v>
      </c>
      <c r="C320" s="79"/>
      <c r="D320" s="109"/>
      <c r="F320" s="1" t="s">
        <v>356</v>
      </c>
      <c r="G320" s="1">
        <v>1.04</v>
      </c>
    </row>
    <row r="321" spans="1:7" ht="33.75" customHeight="1" hidden="1">
      <c r="A321" s="40"/>
      <c r="B321" s="86" t="s">
        <v>310</v>
      </c>
      <c r="C321" s="35"/>
      <c r="D321" s="88"/>
      <c r="F321" s="1" t="s">
        <v>356</v>
      </c>
      <c r="G321" s="1">
        <v>1.04</v>
      </c>
    </row>
    <row r="322" spans="1:7" ht="33.75" customHeight="1" hidden="1">
      <c r="A322" s="40"/>
      <c r="B322" s="84" t="s">
        <v>339</v>
      </c>
      <c r="C322" s="35" t="s">
        <v>301</v>
      </c>
      <c r="D322" s="87">
        <f>93*G322</f>
        <v>96.72</v>
      </c>
      <c r="F322" s="1" t="s">
        <v>356</v>
      </c>
      <c r="G322" s="1">
        <v>1.04</v>
      </c>
    </row>
    <row r="323" spans="1:7" ht="33.75" customHeight="1" hidden="1">
      <c r="A323" s="40"/>
      <c r="B323" s="84" t="s">
        <v>340</v>
      </c>
      <c r="C323" s="35" t="s">
        <v>301</v>
      </c>
      <c r="D323" s="87">
        <f>93*G323</f>
        <v>96.72</v>
      </c>
      <c r="F323" s="1" t="s">
        <v>356</v>
      </c>
      <c r="G323" s="1">
        <v>1.04</v>
      </c>
    </row>
  </sheetData>
  <sheetProtection/>
  <autoFilter ref="A9:E9"/>
  <mergeCells count="16">
    <mergeCell ref="C1:D1"/>
    <mergeCell ref="C2:D2"/>
    <mergeCell ref="C3:D3"/>
    <mergeCell ref="C4:D4"/>
    <mergeCell ref="A8:D8"/>
    <mergeCell ref="A48:A50"/>
    <mergeCell ref="C48:C52"/>
    <mergeCell ref="D48:D52"/>
    <mergeCell ref="E48:E52"/>
    <mergeCell ref="B49:B50"/>
    <mergeCell ref="A51:A52"/>
    <mergeCell ref="B51:B52"/>
    <mergeCell ref="A108:A109"/>
    <mergeCell ref="B108:B109"/>
    <mergeCell ref="C108:C109"/>
    <mergeCell ref="D108:D109"/>
  </mergeCells>
  <printOptions/>
  <pageMargins left="0.8267716535433072" right="0.2362204724409449" top="0.4724409448818898" bottom="0.6692913385826772" header="0.31496062992125984" footer="0.31496062992125984"/>
  <pageSetup fitToHeight="0" horizontalDpi="600" verticalDpi="600" orientation="portrait" paperSize="9" scale="49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D10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2" max="2" width="51.875" style="0" customWidth="1"/>
    <col min="3" max="3" width="15.50390625" style="0" customWidth="1"/>
    <col min="4" max="4" width="17.875" style="0" customWidth="1"/>
  </cols>
  <sheetData>
    <row r="4" spans="1:4" ht="17.25">
      <c r="A4" s="65" t="s">
        <v>337</v>
      </c>
      <c r="B4" s="65" t="s">
        <v>286</v>
      </c>
      <c r="C4" s="65"/>
      <c r="D4" s="65"/>
    </row>
    <row r="5" spans="1:4" ht="36">
      <c r="A5" s="40"/>
      <c r="B5" s="111" t="s">
        <v>293</v>
      </c>
      <c r="C5" s="112" t="s">
        <v>241</v>
      </c>
      <c r="D5" s="113">
        <v>82</v>
      </c>
    </row>
    <row r="6" spans="1:4" ht="18">
      <c r="A6" s="40"/>
      <c r="B6" s="111" t="s">
        <v>397</v>
      </c>
      <c r="C6" s="112" t="s">
        <v>241</v>
      </c>
      <c r="D6" s="113">
        <v>158</v>
      </c>
    </row>
    <row r="7" spans="1:4" ht="18">
      <c r="A7" s="40"/>
      <c r="B7" s="111" t="s">
        <v>396</v>
      </c>
      <c r="C7" s="112"/>
      <c r="D7" s="113"/>
    </row>
    <row r="8" spans="1:4" ht="18">
      <c r="A8" s="40"/>
      <c r="B8" s="111" t="s">
        <v>398</v>
      </c>
      <c r="C8" s="112" t="s">
        <v>241</v>
      </c>
      <c r="D8" s="113">
        <v>82</v>
      </c>
    </row>
    <row r="9" spans="1:4" ht="18">
      <c r="A9" s="40"/>
      <c r="B9" s="111" t="s">
        <v>399</v>
      </c>
      <c r="C9" s="112" t="s">
        <v>241</v>
      </c>
      <c r="D9" s="113">
        <v>82</v>
      </c>
    </row>
    <row r="10" spans="1:4" ht="18">
      <c r="A10" s="40"/>
      <c r="B10" s="111" t="s">
        <v>400</v>
      </c>
      <c r="C10" s="112" t="s">
        <v>241</v>
      </c>
      <c r="D10" s="113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Бухгалтерия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ГИА</cp:lastModifiedBy>
  <cp:lastPrinted>2021-08-30T09:05:25Z</cp:lastPrinted>
  <dcterms:created xsi:type="dcterms:W3CDTF">2015-01-13T07:01:32Z</dcterms:created>
  <dcterms:modified xsi:type="dcterms:W3CDTF">2023-10-03T10:31:38Z</dcterms:modified>
  <cp:category/>
  <cp:version/>
  <cp:contentType/>
  <cp:contentStatus/>
</cp:coreProperties>
</file>